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730" activeTab="4"/>
  </bookViews>
  <sheets>
    <sheet name="VALOR GLOBAL" sheetId="15" r:id="rId1"/>
    <sheet name="QUADRO RESUMO" sheetId="13" r:id="rId2"/>
    <sheet name="SERVENTE" sheetId="3" r:id="rId3"/>
    <sheet name="ENCARREGADO" sheetId="9" r:id="rId4"/>
    <sheet name="Complemento para limpeza " sheetId="12" r:id="rId5"/>
    <sheet name="CALCULO DAS AREA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<sst xmlns="http://schemas.openxmlformats.org/spreadsheetml/2006/main" count="574" uniqueCount="220">
  <si>
    <t>Valor global (Serviços de limpeza, conservação e auxílio na manutenção e operação do CIRPA Bebedouro)</t>
  </si>
  <si>
    <t>Item</t>
  </si>
  <si>
    <t>Descrição</t>
  </si>
  <si>
    <t>Und</t>
  </si>
  <si>
    <t>Quant.</t>
  </si>
  <si>
    <t>Preço Unit. Mensal</t>
  </si>
  <si>
    <t>Valor (R$)</t>
  </si>
  <si>
    <t>Conservação e Limpeza</t>
  </si>
  <si>
    <t>1.1</t>
  </si>
  <si>
    <t>Área Interna</t>
  </si>
  <si>
    <t>m²</t>
  </si>
  <si>
    <t>1.2</t>
  </si>
  <si>
    <t>Área Externa</t>
  </si>
  <si>
    <t>1.3</t>
  </si>
  <si>
    <t>Esquadrias Externa e Interna</t>
  </si>
  <si>
    <t>VALOR TOTAL MENSAL</t>
  </si>
  <si>
    <t>VALOR TOTAL GLOBAL (12 MESES)</t>
  </si>
  <si>
    <t>QUADRO RESUMO - VALOR DOS SERVIÇOS DE CONSERVAÇÃO E LIMPEZA- Prestação de serviços no CIRPA - Bebedouro (3º CIB)</t>
  </si>
  <si>
    <t>Tipo de Serviço
(A)</t>
  </si>
  <si>
    <t>Valor Proposto por profissional
(B)</t>
  </si>
  <si>
    <t>Valor Proposto por Àrea (m²)
(D)</t>
  </si>
  <si>
    <t>Quant. de Área Total por Tipo de Serviço (m²)
 (E)</t>
  </si>
  <si>
    <t>Valor Mensal por Tipo  de Serviço
F = D x E</t>
  </si>
  <si>
    <t>Serviços de Limpeza e Conservação - Área Interna - Encarregado</t>
  </si>
  <si>
    <t>Serviços de Limpeza e Conservação - Área Externa - Encarregado</t>
  </si>
  <si>
    <t>Serviços de Limpeza e Conservação - Esquadrias Internas e Externas  - Encarregado</t>
  </si>
  <si>
    <t>Serviços de Limpeza e Conservação - Área Interna - Servente</t>
  </si>
  <si>
    <t>Serviços de Limpeza e Conservação - Área Externa - Servente</t>
  </si>
  <si>
    <t>Serviços de Limpeza e Conservação - Esquadrias Internas e Externas - Servente</t>
  </si>
  <si>
    <t>PLANILHA DE CUSTOS E FORMAÇÃO DE PREÇOS</t>
  </si>
  <si>
    <t>MODELO PARA A CONSOLIDAÇÃO E APRESENTAÇÃO DE PROPOSTAS</t>
  </si>
  <si>
    <t>Com ajustes após publicação da Lei n° 13.467, de 2017.</t>
  </si>
  <si>
    <t>A</t>
  </si>
  <si>
    <t>Município/UF</t>
  </si>
  <si>
    <t>Petrolina-PE</t>
  </si>
  <si>
    <t>B</t>
  </si>
  <si>
    <t>Ano do Acordo, Convenção ou Dissídio Coletivo</t>
  </si>
  <si>
    <t>C</t>
  </si>
  <si>
    <t>Nº de meses de execução contratual</t>
  </si>
  <si>
    <t>12 meses</t>
  </si>
  <si>
    <t>IDENTIFICAÇÃO DO SERVIÇO</t>
  </si>
  <si>
    <t>Tipo de Serviço</t>
  </si>
  <si>
    <t>Unidade de 
Medida</t>
  </si>
  <si>
    <t>Quant. a contratar (em função da unid. de Medida)</t>
  </si>
  <si>
    <t>A - Limpeza e conservação - Áreas Internas</t>
  </si>
  <si>
    <t>m2</t>
  </si>
  <si>
    <t>B - Limpeza e conservação - Áreas Externas</t>
  </si>
  <si>
    <t>C - Limpeza e conservação - Esquadrias</t>
  </si>
  <si>
    <t xml:space="preserve">Categoria profissional vinculada à execução contratual </t>
  </si>
  <si>
    <t>Servente</t>
  </si>
  <si>
    <t>Descrição: Contratação dos serviços continuados de limpeza, conservação e  auxílio na manutenção e operação do Centro Integrado de Recursos Pesqueiros e Aquicultura de Bebedouro - CIRPA Bebedouro (3ª GRR/CIB)</t>
  </si>
  <si>
    <t>Módulo 1 - Composição da Remuneração</t>
  </si>
  <si>
    <t>Composição da Remuneração</t>
  </si>
  <si>
    <t>Percentual (%)</t>
  </si>
  <si>
    <t>Salário-Base</t>
  </si>
  <si>
    <t>Adicional de Periculosidade</t>
  </si>
  <si>
    <t>Adicional de Insalubridade</t>
  </si>
  <si>
    <t>D</t>
  </si>
  <si>
    <t>Adicional Noturno</t>
  </si>
  <si>
    <t>E</t>
  </si>
  <si>
    <t>Adicional de Hora Noturna Reduzida</t>
  </si>
  <si>
    <t>G</t>
  </si>
  <si>
    <t>Outros (especificar)</t>
  </si>
  <si>
    <t>Total</t>
  </si>
  <si>
    <t>Módulo 2 - Encargos e Benefícios Anuais, Mensais e Diários</t>
  </si>
  <si>
    <t>Submódulo 2.1 - 13º (décimo terceiro) Salário, Férias e Adicional de Férias</t>
  </si>
  <si>
    <t>2.1</t>
  </si>
  <si>
    <t>13º (décimo terceiro) Salário, Férias e Adicional de Férias</t>
  </si>
  <si>
    <t>13º (décimo terceiro) Salário</t>
  </si>
  <si>
    <t>Férias e Adicional de Férias</t>
  </si>
  <si>
    <t>Submódulo 2.2 - Encargos Previdenciários (GPS), Fundo de Garantia por Tempo de Serviço (FGTS) e outras contribuições.</t>
  </si>
  <si>
    <t>2.2</t>
  </si>
  <si>
    <t>GPS, FGTS e outras contribuições</t>
  </si>
  <si>
    <t>INSS</t>
  </si>
  <si>
    <t>Salário Educação</t>
  </si>
  <si>
    <t>SAT</t>
  </si>
  <si>
    <t>SESC ou SESI</t>
  </si>
  <si>
    <t>SENAI - SENAC</t>
  </si>
  <si>
    <t>F</t>
  </si>
  <si>
    <t>SEBRAE</t>
  </si>
  <si>
    <t>INCRA</t>
  </si>
  <si>
    <t>H</t>
  </si>
  <si>
    <t>FGTS</t>
  </si>
  <si>
    <t xml:space="preserve">Total </t>
  </si>
  <si>
    <t>Submódulo 2.3 - Benefícios Mensais e Diários.</t>
  </si>
  <si>
    <t>BRNRFÍCIOS</t>
  </si>
  <si>
    <t>2.3</t>
  </si>
  <si>
    <t>Benefícios Mensais e Diários</t>
  </si>
  <si>
    <t>VALOR</t>
  </si>
  <si>
    <t>QUANT DIÁRIA</t>
  </si>
  <si>
    <t>NQUANT</t>
  </si>
  <si>
    <t>TOAL</t>
  </si>
  <si>
    <t>V. LIQ</t>
  </si>
  <si>
    <t>Transporte</t>
  </si>
  <si>
    <t>V. TRANSP</t>
  </si>
  <si>
    <t>Auxílio-Refeição/Alimentação</t>
  </si>
  <si>
    <t>V. ALIM</t>
  </si>
  <si>
    <t>Assistência Médica e Familiar</t>
  </si>
  <si>
    <t>A. MÉD</t>
  </si>
  <si>
    <t>Seguro de vida, Invalidez e Auxilio funeral</t>
  </si>
  <si>
    <t>Cestas básica</t>
  </si>
  <si>
    <t>Cesta básica</t>
  </si>
  <si>
    <t>SEGURO</t>
  </si>
  <si>
    <t>Quadro-Resumo do Módulo 2 - Encargos e Benefícios anuais, mensais e diários</t>
  </si>
  <si>
    <t>Encargos e Benefícios Anuais, Mensais e Diários</t>
  </si>
  <si>
    <t>Módulo 3 - Provisão para Rescisão</t>
  </si>
  <si>
    <t>Provisão para Rescisão</t>
  </si>
  <si>
    <t>Aviso Prévio Indenizado</t>
  </si>
  <si>
    <t>Incidência do FGTS sobre o Aviso Prévio Indenizado</t>
  </si>
  <si>
    <t>Multa do FGTS e contribuição social sobre o Aviso Prévio Indenizado</t>
  </si>
  <si>
    <t>Aviso Prévio Trabalhado</t>
  </si>
  <si>
    <t>Incidência dos encargos do submódulo 2.2 sobre o Aviso Prévio Trabalhado</t>
  </si>
  <si>
    <t>Multa do FGTS e contribuição social sobre o Aviso Prévio Trabalhado</t>
  </si>
  <si>
    <t>Módulo 4 - Custo de Reposição do Profissional Ausente</t>
  </si>
  <si>
    <t>Submódulo 4.1 - Ausências Legais</t>
  </si>
  <si>
    <t>4.1</t>
  </si>
  <si>
    <t>Ausências Legais</t>
  </si>
  <si>
    <t>Férias</t>
  </si>
  <si>
    <t>Licença-Paternidade</t>
  </si>
  <si>
    <t>Ausência por acidente de trabalho</t>
  </si>
  <si>
    <t>Afastamento Maternidade</t>
  </si>
  <si>
    <t>Submódulo 4.2 - Intrajornada</t>
  </si>
  <si>
    <t>4.2</t>
  </si>
  <si>
    <t>Intrajornada</t>
  </si>
  <si>
    <t>Intervalo para repouso e alimentação</t>
  </si>
  <si>
    <t>Quadro-Resumo do Módulo 4 - Custo de Reposição do Profissional Ausente</t>
  </si>
  <si>
    <t>Custo de Reposição do Profissional Ausente</t>
  </si>
  <si>
    <t>Módulo 5 - Insumos Diversos</t>
  </si>
  <si>
    <t>Insumos Diversos</t>
  </si>
  <si>
    <t>Uniformes e Equipamentos- EPIS (Camisa, Calça e Botas)</t>
  </si>
  <si>
    <t>Materiais de Limpeza</t>
  </si>
  <si>
    <t>Módulo 6 - Custos Indiretos, Tributos e Lucro</t>
  </si>
  <si>
    <t>Custos Indiretos, Tributos e Lucro</t>
  </si>
  <si>
    <t>Custos Indiretos</t>
  </si>
  <si>
    <t>Lucro</t>
  </si>
  <si>
    <t>Tributos</t>
  </si>
  <si>
    <t>C.1. Tributos Federais (PIS)</t>
  </si>
  <si>
    <t>C.2. Tributos Estaduais (COFINS)</t>
  </si>
  <si>
    <t>C.3. Tributos Municipais (ISS)</t>
  </si>
  <si>
    <t>2. QUADRO-RESUMO DO CUSTO POR EMPREGADO</t>
  </si>
  <si>
    <t>Mão de obra vinculada à execução contratual (valor por empregado)</t>
  </si>
  <si>
    <t>Subtotal (A + B +C+ D+E)</t>
  </si>
  <si>
    <t>Módulo 6 – Custos Indiretos, Tributos e Lucro</t>
  </si>
  <si>
    <t xml:space="preserve">Valor Total por Empregado </t>
  </si>
  <si>
    <t>A - Encarregado</t>
  </si>
  <si>
    <t>Posto</t>
  </si>
  <si>
    <t>Encarregado</t>
  </si>
  <si>
    <t xml:space="preserve">Quantidade de Empregados por Posto </t>
  </si>
  <si>
    <t>PREÇO MENSAL UNITÁRIO POR METRO QUADRADO (m²)</t>
  </si>
  <si>
    <t>A - ÁREA INTERNA COM INSALUBRIDADE</t>
  </si>
  <si>
    <t>MÃO-DE-OBRA</t>
  </si>
  <si>
    <t>PRODUTIVIDADE
( 1 / m² )
( 1 )</t>
  </si>
  <si>
    <t>PREÇO HOMEM-MÊS
( R$ )
( 2 )</t>
  </si>
  <si>
    <t>SUBTOTAL
(R$ / m² )
(3 = 1 x 2)</t>
  </si>
  <si>
    <t>1/955</t>
  </si>
  <si>
    <t>Produt. Méd.Área.Externa</t>
  </si>
  <si>
    <t>1/(10x955)</t>
  </si>
  <si>
    <t>Produt. Méd.Área.Interna</t>
  </si>
  <si>
    <t>Produt. Méd.Esquadrias</t>
  </si>
  <si>
    <t>TOTAL (Área Tipo "A")</t>
  </si>
  <si>
    <t>B - ÁREA EXTERNA COM INSALUBRIDADE</t>
  </si>
  <si>
    <t>1/34767</t>
  </si>
  <si>
    <t>1/(10x34767)</t>
  </si>
  <si>
    <t>TOTAL (Área Tipo "B")</t>
  </si>
  <si>
    <t>C - ESQUADRIAS INTERNAS E EXTERNAS</t>
  </si>
  <si>
    <t>PRODUTIVIDADE
( 1 / m² ) 
(1)</t>
  </si>
  <si>
    <t>FREQUÊNCIA NO MÊS
(HORA)
(2)</t>
  </si>
  <si>
    <t>JORNADA DE TRABALHO NO MÊS (HORAS) 1/188,57
(3)</t>
  </si>
  <si>
    <t>(1x2x3) Ki
(4)</t>
  </si>
  <si>
    <t xml:space="preserve">PREÇO HOMEM-MÊS (R$) 
(5)
</t>
  </si>
  <si>
    <t xml:space="preserve">SUBTOTAL
(R$ / m² )
(6 = 4 x 5)
</t>
  </si>
  <si>
    <t>1/300</t>
  </si>
  <si>
    <t>1/(10x300)</t>
  </si>
  <si>
    <t>TOTAL (Área Tipo "C")</t>
  </si>
  <si>
    <t>II- VALOR MENSAL DOS SERVIÇOS DE CONSERVAÇÃO E LIMPEZA</t>
  </si>
  <si>
    <t>TIPO DA ÁREA</t>
  </si>
  <si>
    <t xml:space="preserve">PREÇO MENSAL UNITÁRIO
(R$ m² )
</t>
  </si>
  <si>
    <t>ÁREA( m² )</t>
  </si>
  <si>
    <t>SUBTOTAL
(R$)</t>
  </si>
  <si>
    <t>A - Interna com Insalubridade</t>
  </si>
  <si>
    <t>B - Externa com Insalubridade</t>
  </si>
  <si>
    <t>C - Esquadrias</t>
  </si>
  <si>
    <t>D - Serviços (Outros)</t>
  </si>
  <si>
    <t>TOTAL MENSAL DOS SERVIÇOS</t>
  </si>
  <si>
    <t>Mensal</t>
  </si>
  <si>
    <t>AREA EXTERNA</t>
  </si>
  <si>
    <t>Local</t>
  </si>
  <si>
    <t>Área</t>
  </si>
  <si>
    <t>Unidade</t>
  </si>
  <si>
    <t>Periodicidade</t>
  </si>
  <si>
    <t>Índice de Prod.</t>
  </si>
  <si>
    <t>Efetivo</t>
  </si>
  <si>
    <t>Área Verde</t>
  </si>
  <si>
    <t>Quinzenalmente</t>
  </si>
  <si>
    <t>Dreno</t>
  </si>
  <si>
    <t>Mensalmente</t>
  </si>
  <si>
    <t>Viveiros Escavados</t>
  </si>
  <si>
    <t>Diariamente</t>
  </si>
  <si>
    <t>Tanques de Alvenaria</t>
  </si>
  <si>
    <t>3x na semana</t>
  </si>
  <si>
    <t>Comportas</t>
  </si>
  <si>
    <t>Reservatórios</t>
  </si>
  <si>
    <t>AREA INTERNA</t>
  </si>
  <si>
    <t>Administração</t>
  </si>
  <si>
    <t>Alojamento</t>
  </si>
  <si>
    <t>Garagem/Almoxarifados</t>
  </si>
  <si>
    <t>Depósito de Rações</t>
  </si>
  <si>
    <t>Depósito de Materiais</t>
  </si>
  <si>
    <t>Semanalmente</t>
  </si>
  <si>
    <t>Auditório</t>
  </si>
  <si>
    <t>Esquadrias</t>
  </si>
  <si>
    <t>Pavilhão de incubação</t>
  </si>
  <si>
    <t>Sala de hipofisação</t>
  </si>
  <si>
    <t>Galpão de Larvicultura</t>
  </si>
  <si>
    <t>Centro de distribuição de Alevinos</t>
  </si>
  <si>
    <t>ESQUADRIAS</t>
  </si>
  <si>
    <t xml:space="preserve">PRODUTIVDADE </t>
  </si>
  <si>
    <t>EFETIVO</t>
  </si>
  <si>
    <t>QUANT.</t>
  </si>
  <si>
    <t>Efetivo 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</si>
</sst>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_(* #,##0.00_);_(* \(#,##0.00\);_(* \-??_);_(@_)"/>
    <numFmt numFmtId="181" formatCode="_-&quot;R$&quot;\ * #,##0.0000_-;\-&quot;R$&quot;\ * #,##0.0000_-;_-&quot;R$&quot;\ * &quot;-&quot;??_-;_-@_-"/>
    <numFmt numFmtId="182" formatCode="0.000000"/>
    <numFmt numFmtId="183" formatCode="0.00000000"/>
    <numFmt numFmtId="184" formatCode="_-&quot;R$&quot;\ * #,##0.000000_-;\-&quot;R$&quot;\ * #,##0.000000_-;_-&quot;R$&quot;\ * &quot;-&quot;??_-;_-@_-"/>
    <numFmt numFmtId="185" formatCode="_-&quot;R$&quot;\ * #,##0.000_-;\-&quot;R$&quot;\ * #,##0.000_-;_-&quot;R$&quot;\ * &quot;-&quot;??_-;_-@_-"/>
    <numFmt numFmtId="186" formatCode="_-&quot;R$&quot;\ * #,##0.00000_-;\-&quot;R$&quot;\ * #,##0.00000_-;_-&quot;R$&quot;\ * &quot;-&quot;??_-;_-@_-"/>
    <numFmt numFmtId="187" formatCode="[$R$-416]\ #,##0.00;[Red]\-[$R$-416]\ #,##0.00"/>
    <numFmt numFmtId="188" formatCode="_-* #,##0.00_-;\-* #,##0.00_-;_-* \-??_-;_-@_-"/>
    <numFmt numFmtId="189" formatCode="_(&quot;R$ &quot;* #,##0.000000_);_(&quot;R$ &quot;* \(#,##0.000000\);_(&quot;R$ &quot;* \-??_);_(@_)"/>
    <numFmt numFmtId="190" formatCode="_(&quot;R$ &quot;* #,##0.00_);_(&quot;R$ &quot;* \(#,##0.00\);_(&quot;R$ &quot;* \-??_);_(@_)"/>
  </numFmts>
  <fonts count="52">
    <font>
      <sz val="11"/>
      <color theme="1"/>
      <name val="Calibri"/>
      <charset val="134"/>
      <scheme val="minor"/>
    </font>
    <font>
      <b/>
      <sz val="14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2"/>
      <color rgb="FF000000"/>
      <name val="Times New Roman"/>
      <charset val="134"/>
    </font>
    <font>
      <b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9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2"/>
      <color rgb="FF000000"/>
      <name val="Calibri"/>
      <charset val="134"/>
      <scheme val="minor"/>
    </font>
    <font>
      <sz val="12"/>
      <color theme="1"/>
      <name val="Times New Roman"/>
      <charset val="134"/>
    </font>
    <font>
      <sz val="18"/>
      <color theme="0"/>
      <name val="Times New Roman"/>
      <charset val="134"/>
    </font>
    <font>
      <sz val="12"/>
      <color rgb="FFFF0000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sz val="12"/>
      <color theme="1"/>
      <name val="Calibri"/>
      <charset val="134"/>
      <scheme val="minor"/>
    </font>
    <font>
      <sz val="10"/>
      <color rgb="FF000000"/>
      <name val="Times New Roman"/>
      <charset val="134"/>
    </font>
    <font>
      <sz val="10"/>
      <name val="Arial"/>
      <charset val="134"/>
    </font>
    <font>
      <b/>
      <sz val="10"/>
      <name val="Times New Roman"/>
      <charset val="134"/>
    </font>
    <font>
      <b/>
      <sz val="12"/>
      <color theme="1"/>
      <name val="Times New Roman"/>
      <charset val="134"/>
    </font>
    <font>
      <sz val="12"/>
      <color theme="0"/>
      <name val="Times New Roman"/>
      <charset val="134"/>
    </font>
    <font>
      <sz val="12"/>
      <color rgb="FF000000"/>
      <name val="Times New Roman"/>
      <charset val="134"/>
    </font>
    <font>
      <b/>
      <sz val="11"/>
      <color indexed="8"/>
      <name val="Calibri"/>
      <charset val="134"/>
    </font>
    <font>
      <b/>
      <sz val="10"/>
      <color rgb="FF000000"/>
      <name val="Calibri"/>
      <charset val="134"/>
    </font>
    <font>
      <b/>
      <sz val="9.5"/>
      <name val="Times New Roman"/>
      <charset val="134"/>
    </font>
    <font>
      <b/>
      <sz val="10"/>
      <color theme="1"/>
      <name val="Calibri"/>
      <charset val="134"/>
      <scheme val="minor"/>
    </font>
    <font>
      <sz val="1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Calibri"/>
      <charset val="134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4"/>
        <bgColor rgb="FFFFFF99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FFFFCC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729FCF"/>
        <bgColor rgb="FF729FC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9" fillId="16" borderId="45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46" applyNumberFormat="0" applyFill="0" applyAlignment="0" applyProtection="0">
      <alignment vertical="center"/>
    </xf>
    <xf numFmtId="0" fontId="38" fillId="0" borderId="46" applyNumberFormat="0" applyFill="0" applyAlignment="0" applyProtection="0">
      <alignment vertical="center"/>
    </xf>
    <xf numFmtId="0" fontId="39" fillId="0" borderId="4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17" borderId="48" applyNumberFormat="0" applyAlignment="0" applyProtection="0">
      <alignment vertical="center"/>
    </xf>
    <xf numFmtId="0" fontId="41" fillId="18" borderId="49" applyNumberFormat="0" applyAlignment="0" applyProtection="0">
      <alignment vertical="center"/>
    </xf>
    <xf numFmtId="0" fontId="42" fillId="18" borderId="48" applyNumberFormat="0" applyAlignment="0" applyProtection="0">
      <alignment vertical="center"/>
    </xf>
    <xf numFmtId="0" fontId="43" fillId="19" borderId="50" applyNumberFormat="0" applyAlignment="0" applyProtection="0">
      <alignment vertical="center"/>
    </xf>
    <xf numFmtId="0" fontId="44" fillId="0" borderId="51" applyNumberFormat="0" applyFill="0" applyAlignment="0" applyProtection="0">
      <alignment vertical="center"/>
    </xf>
    <xf numFmtId="0" fontId="45" fillId="0" borderId="52" applyNumberFormat="0" applyFill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49" fillId="35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40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177" fontId="51" fillId="0" borderId="0" applyFont="0" applyFill="0" applyBorder="0" applyAlignment="0" applyProtection="0"/>
    <xf numFmtId="0" fontId="10" fillId="0" borderId="0"/>
    <xf numFmtId="0" fontId="51" fillId="0" borderId="0"/>
    <xf numFmtId="180" fontId="22" fillId="0" borderId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</cellStyleXfs>
  <cellXfs count="2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4" fontId="3" fillId="3" borderId="5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3" fontId="3" fillId="4" borderId="5" xfId="0" applyNumberFormat="1" applyFont="1" applyFill="1" applyBorder="1" applyAlignment="1">
      <alignment horizontal="center"/>
    </xf>
    <xf numFmtId="2" fontId="3" fillId="4" borderId="6" xfId="0" applyNumberFormat="1" applyFont="1" applyFill="1" applyBorder="1" applyAlignment="1">
      <alignment horizontal="center"/>
    </xf>
    <xf numFmtId="2" fontId="2" fillId="3" borderId="6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vertical="center"/>
    </xf>
    <xf numFmtId="3" fontId="4" fillId="4" borderId="0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4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/>
    </xf>
    <xf numFmtId="2" fontId="2" fillId="3" borderId="8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/>
    </xf>
    <xf numFmtId="4" fontId="3" fillId="3" borderId="13" xfId="0" applyNumberFormat="1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3" fontId="3" fillId="4" borderId="13" xfId="0" applyNumberFormat="1" applyFont="1" applyFill="1" applyBorder="1" applyAlignment="1">
      <alignment horizontal="center"/>
    </xf>
    <xf numFmtId="2" fontId="3" fillId="4" borderId="14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3" fontId="3" fillId="3" borderId="6" xfId="0" applyNumberFormat="1" applyFont="1" applyFill="1" applyBorder="1" applyAlignment="1">
      <alignment horizontal="right" vertical="center"/>
    </xf>
    <xf numFmtId="3" fontId="3" fillId="3" borderId="14" xfId="0" applyNumberFormat="1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3" fontId="3" fillId="5" borderId="17" xfId="0" applyNumberFormat="1" applyFont="1" applyFill="1" applyBorder="1" applyAlignment="1">
      <alignment horizontal="center"/>
    </xf>
    <xf numFmtId="2" fontId="4" fillId="0" borderId="0" xfId="0" applyNumberFormat="1" applyFont="1"/>
    <xf numFmtId="0" fontId="2" fillId="3" borderId="12" xfId="0" applyFont="1" applyFill="1" applyBorder="1" applyAlignment="1">
      <alignment horizontal="center"/>
    </xf>
    <xf numFmtId="3" fontId="2" fillId="5" borderId="18" xfId="0" applyNumberFormat="1" applyFont="1" applyFill="1" applyBorder="1" applyAlignment="1">
      <alignment horizontal="center"/>
    </xf>
    <xf numFmtId="0" fontId="0" fillId="0" borderId="0" xfId="0" applyFont="1"/>
    <xf numFmtId="0" fontId="7" fillId="0" borderId="0" xfId="0" applyFont="1"/>
    <xf numFmtId="0" fontId="7" fillId="6" borderId="5" xfId="0" applyFont="1" applyFill="1" applyBorder="1" applyAlignment="1">
      <alignment horizontal="center"/>
    </xf>
    <xf numFmtId="0" fontId="8" fillId="6" borderId="19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/>
    </xf>
    <xf numFmtId="0" fontId="8" fillId="6" borderId="20" xfId="0" applyFont="1" applyFill="1" applyBorder="1" applyAlignment="1">
      <alignment horizont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0" fillId="0" borderId="5" xfId="0" applyBorder="1"/>
    <xf numFmtId="17" fontId="0" fillId="7" borderId="5" xfId="0" applyNumberFormat="1" applyFont="1" applyFill="1" applyBorder="1" applyAlignment="1">
      <alignment horizontal="center" vertical="center"/>
    </xf>
    <xf numFmtId="177" fontId="0" fillId="0" borderId="5" xfId="0" applyNumberFormat="1" applyBorder="1"/>
    <xf numFmtId="181" fontId="0" fillId="0" borderId="5" xfId="0" applyNumberFormat="1" applyBorder="1"/>
    <xf numFmtId="3" fontId="9" fillId="0" borderId="0" xfId="0" applyNumberFormat="1" applyFont="1"/>
    <xf numFmtId="3" fontId="0" fillId="0" borderId="0" xfId="0" applyNumberFormat="1"/>
    <xf numFmtId="0" fontId="0" fillId="7" borderId="5" xfId="0" applyFont="1" applyFill="1" applyBorder="1" applyAlignment="1">
      <alignment horizontal="center" vertical="center"/>
    </xf>
    <xf numFmtId="181" fontId="7" fillId="6" borderId="5" xfId="0" applyNumberFormat="1" applyFont="1" applyFill="1" applyBorder="1"/>
    <xf numFmtId="0" fontId="8" fillId="4" borderId="5" xfId="0" applyFont="1" applyFill="1" applyBorder="1" applyAlignment="1">
      <alignment horizontal="center"/>
    </xf>
    <xf numFmtId="0" fontId="10" fillId="4" borderId="5" xfId="0" applyFont="1" applyFill="1" applyBorder="1"/>
    <xf numFmtId="17" fontId="10" fillId="7" borderId="5" xfId="0" applyNumberFormat="1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181" fontId="7" fillId="4" borderId="5" xfId="0" applyNumberFormat="1" applyFont="1" applyFill="1" applyBorder="1"/>
    <xf numFmtId="0" fontId="7" fillId="6" borderId="5" xfId="0" applyFont="1" applyFill="1" applyBorder="1" applyAlignment="1">
      <alignment vertical="center"/>
    </xf>
    <xf numFmtId="0" fontId="7" fillId="6" borderId="5" xfId="0" applyFont="1" applyFill="1" applyBorder="1" applyAlignment="1">
      <alignment horizontal="center" vertical="center" wrapText="1"/>
    </xf>
    <xf numFmtId="17" fontId="0" fillId="0" borderId="5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82" fontId="0" fillId="0" borderId="5" xfId="0" applyNumberFormat="1" applyBorder="1"/>
    <xf numFmtId="183" fontId="0" fillId="0" borderId="5" xfId="0" applyNumberFormat="1" applyBorder="1"/>
    <xf numFmtId="181" fontId="0" fillId="0" borderId="5" xfId="2" applyNumberFormat="1" applyFont="1" applyBorder="1" applyAlignment="1"/>
    <xf numFmtId="0" fontId="0" fillId="0" borderId="5" xfId="0" applyFont="1" applyBorder="1" applyAlignment="1">
      <alignment horizontal="center"/>
    </xf>
    <xf numFmtId="0" fontId="0" fillId="4" borderId="5" xfId="0" applyFill="1" applyBorder="1" applyAlignment="1">
      <alignment horizontal="center"/>
    </xf>
    <xf numFmtId="181" fontId="0" fillId="6" borderId="5" xfId="2" applyNumberFormat="1" applyFont="1" applyFill="1" applyBorder="1" applyAlignment="1"/>
    <xf numFmtId="0" fontId="0" fillId="0" borderId="5" xfId="0" applyFont="1" applyBorder="1"/>
    <xf numFmtId="184" fontId="0" fillId="0" borderId="5" xfId="0" applyNumberFormat="1" applyBorder="1"/>
    <xf numFmtId="4" fontId="0" fillId="0" borderId="5" xfId="0" applyNumberFormat="1" applyBorder="1"/>
    <xf numFmtId="185" fontId="0" fillId="0" borderId="5" xfId="0" applyNumberFormat="1" applyBorder="1"/>
    <xf numFmtId="186" fontId="0" fillId="0" borderId="5" xfId="2" applyNumberFormat="1" applyFont="1" applyBorder="1" applyAlignment="1"/>
    <xf numFmtId="177" fontId="7" fillId="6" borderId="5" xfId="0" applyNumberFormat="1" applyFont="1" applyFill="1" applyBorder="1"/>
    <xf numFmtId="0" fontId="11" fillId="0" borderId="0" xfId="0" applyFont="1"/>
    <xf numFmtId="177" fontId="12" fillId="0" borderId="0" xfId="2" applyFont="1"/>
    <xf numFmtId="0" fontId="12" fillId="0" borderId="0" xfId="0" applyFont="1"/>
    <xf numFmtId="187" fontId="13" fillId="0" borderId="0" xfId="51" applyNumberFormat="1" applyFont="1" applyBorder="1"/>
    <xf numFmtId="187" fontId="14" fillId="0" borderId="0" xfId="51" applyNumberFormat="1" applyFont="1" applyBorder="1"/>
    <xf numFmtId="3" fontId="9" fillId="0" borderId="19" xfId="0" applyNumberFormat="1" applyFont="1" applyBorder="1"/>
    <xf numFmtId="0" fontId="0" fillId="0" borderId="10" xfId="0" applyBorder="1"/>
    <xf numFmtId="3" fontId="0" fillId="0" borderId="5" xfId="0" applyNumberFormat="1" applyBorder="1"/>
    <xf numFmtId="3" fontId="9" fillId="0" borderId="21" xfId="0" applyNumberFormat="1" applyFont="1" applyBorder="1"/>
    <xf numFmtId="0" fontId="0" fillId="0" borderId="22" xfId="0" applyBorder="1"/>
    <xf numFmtId="0" fontId="0" fillId="0" borderId="23" xfId="0" applyBorder="1"/>
    <xf numFmtId="0" fontId="15" fillId="0" borderId="0" xfId="0" applyFont="1"/>
    <xf numFmtId="0" fontId="16" fillId="8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15" fillId="0" borderId="24" xfId="0" applyFont="1" applyBorder="1" applyAlignment="1">
      <alignment horizontal="center" vertical="center" wrapText="1"/>
    </xf>
    <xf numFmtId="0" fontId="15" fillId="0" borderId="25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vertical="center" wrapText="1"/>
    </xf>
    <xf numFmtId="0" fontId="15" fillId="0" borderId="26" xfId="0" applyFont="1" applyBorder="1"/>
    <xf numFmtId="0" fontId="15" fillId="0" borderId="26" xfId="0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18" fillId="9" borderId="5" xfId="0" applyFont="1" applyFill="1" applyBorder="1" applyAlignment="1">
      <alignment horizontal="center" vertical="center"/>
    </xf>
    <xf numFmtId="0" fontId="18" fillId="9" borderId="5" xfId="0" applyFont="1" applyFill="1" applyBorder="1" applyAlignment="1">
      <alignment horizontal="center" vertical="center" wrapText="1"/>
    </xf>
    <xf numFmtId="0" fontId="19" fillId="10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15" fillId="0" borderId="5" xfId="0" applyFont="1" applyBorder="1"/>
    <xf numFmtId="0" fontId="15" fillId="0" borderId="5" xfId="0" applyFont="1" applyBorder="1" applyAlignment="1">
      <alignment horizontal="center"/>
    </xf>
    <xf numFmtId="3" fontId="20" fillId="0" borderId="6" xfId="0" applyNumberFormat="1" applyFont="1" applyBorder="1" applyAlignment="1">
      <alignment horizontal="center"/>
    </xf>
    <xf numFmtId="0" fontId="6" fillId="0" borderId="26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2" fillId="0" borderId="0" xfId="0" applyFont="1" applyBorder="1"/>
    <xf numFmtId="0" fontId="23" fillId="0" borderId="0" xfId="0" applyFont="1" applyBorder="1" applyAlignment="1">
      <alignment horizontal="center" vertical="center" wrapText="1"/>
    </xf>
    <xf numFmtId="0" fontId="24" fillId="11" borderId="0" xfId="0" applyFont="1" applyFill="1" applyBorder="1" applyAlignment="1">
      <alignment horizontal="center" vertical="center"/>
    </xf>
    <xf numFmtId="0" fontId="24" fillId="0" borderId="24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177" fontId="15" fillId="4" borderId="28" xfId="2" applyFont="1" applyFill="1" applyBorder="1" applyAlignment="1">
      <alignment horizontal="center" vertical="center" wrapText="1"/>
    </xf>
    <xf numFmtId="9" fontId="15" fillId="0" borderId="28" xfId="0" applyNumberFormat="1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177" fontId="15" fillId="4" borderId="28" xfId="0" applyNumberFormat="1" applyFont="1" applyFill="1" applyBorder="1" applyAlignment="1">
      <alignment horizontal="center" vertical="center" wrapText="1"/>
    </xf>
    <xf numFmtId="0" fontId="15" fillId="4" borderId="0" xfId="0" applyFont="1" applyFill="1"/>
    <xf numFmtId="0" fontId="24" fillId="11" borderId="0" xfId="0" applyFont="1" applyFill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12" borderId="0" xfId="0" applyFont="1" applyFill="1" applyBorder="1" applyAlignment="1">
      <alignment horizontal="center" vertical="center"/>
    </xf>
    <xf numFmtId="0" fontId="25" fillId="4" borderId="0" xfId="0" applyFont="1" applyFill="1"/>
    <xf numFmtId="0" fontId="26" fillId="0" borderId="33" xfId="0" applyFont="1" applyBorder="1" applyAlignment="1">
      <alignment vertical="center" wrapText="1"/>
    </xf>
    <xf numFmtId="10" fontId="15" fillId="4" borderId="28" xfId="3" applyNumberFormat="1" applyFont="1" applyFill="1" applyBorder="1" applyAlignment="1">
      <alignment horizontal="center" vertical="center" wrapText="1"/>
    </xf>
    <xf numFmtId="177" fontId="3" fillId="4" borderId="28" xfId="0" applyNumberFormat="1" applyFont="1" applyFill="1" applyBorder="1" applyAlignment="1">
      <alignment horizontal="center" vertical="center" wrapText="1"/>
    </xf>
    <xf numFmtId="177" fontId="15" fillId="0" borderId="0" xfId="0" applyNumberFormat="1" applyFont="1"/>
    <xf numFmtId="0" fontId="3" fillId="0" borderId="33" xfId="0" applyFont="1" applyBorder="1" applyAlignment="1">
      <alignment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15" fillId="4" borderId="28" xfId="0" applyFont="1" applyFill="1" applyBorder="1" applyAlignment="1">
      <alignment horizontal="center" vertical="center" wrapText="1"/>
    </xf>
    <xf numFmtId="0" fontId="24" fillId="12" borderId="0" xfId="0" applyFont="1" applyFill="1" applyBorder="1" applyAlignment="1">
      <alignment horizontal="center" vertical="center" wrapText="1"/>
    </xf>
    <xf numFmtId="10" fontId="15" fillId="4" borderId="28" xfId="0" applyNumberFormat="1" applyFont="1" applyFill="1" applyBorder="1" applyAlignment="1">
      <alignment horizontal="center" vertical="center" wrapText="1"/>
    </xf>
    <xf numFmtId="187" fontId="26" fillId="4" borderId="33" xfId="0" applyNumberFormat="1" applyFont="1" applyFill="1" applyBorder="1" applyAlignment="1">
      <alignment horizontal="center" vertical="center" wrapText="1"/>
    </xf>
    <xf numFmtId="187" fontId="15" fillId="4" borderId="33" xfId="0" applyNumberFormat="1" applyFont="1" applyFill="1" applyBorder="1" applyAlignment="1">
      <alignment horizontal="center" vertical="center" wrapText="1"/>
    </xf>
    <xf numFmtId="0" fontId="27" fillId="13" borderId="19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13" borderId="5" xfId="0" applyFill="1" applyBorder="1" applyAlignment="1">
      <alignment horizontal="center" vertical="center"/>
    </xf>
    <xf numFmtId="0" fontId="0" fillId="13" borderId="5" xfId="0" applyFill="1" applyBorder="1" applyAlignment="1">
      <alignment horizontal="center"/>
    </xf>
    <xf numFmtId="187" fontId="3" fillId="4" borderId="33" xfId="0" applyNumberFormat="1" applyFont="1" applyFill="1" applyBorder="1" applyAlignment="1">
      <alignment horizontal="center" vertical="center" wrapText="1"/>
    </xf>
    <xf numFmtId="0" fontId="27" fillId="13" borderId="10" xfId="0" applyFont="1" applyFill="1" applyBorder="1" applyAlignment="1">
      <alignment horizontal="center" vertical="center"/>
    </xf>
    <xf numFmtId="0" fontId="27" fillId="13" borderId="20" xfId="0" applyFont="1" applyFill="1" applyBorder="1" applyAlignment="1">
      <alignment horizontal="center" vertical="center"/>
    </xf>
    <xf numFmtId="0" fontId="26" fillId="0" borderId="0" xfId="0" applyFont="1"/>
    <xf numFmtId="0" fontId="0" fillId="0" borderId="5" xfId="0" applyBorder="1" applyAlignment="1">
      <alignment vertical="center"/>
    </xf>
    <xf numFmtId="0" fontId="0" fillId="13" borderId="5" xfId="0" applyFill="1" applyBorder="1" applyAlignment="1">
      <alignment vertical="center"/>
    </xf>
    <xf numFmtId="2" fontId="0" fillId="0" borderId="5" xfId="0" applyNumberFormat="1" applyBorder="1" applyAlignment="1">
      <alignment vertical="center"/>
    </xf>
    <xf numFmtId="2" fontId="0" fillId="13" borderId="5" xfId="0" applyNumberFormat="1" applyFill="1" applyBorder="1" applyAlignment="1">
      <alignment vertical="center"/>
    </xf>
    <xf numFmtId="177" fontId="0" fillId="13" borderId="5" xfId="2" applyFont="1" applyFill="1" applyBorder="1" applyAlignment="1">
      <alignment vertical="center"/>
    </xf>
    <xf numFmtId="188" fontId="0" fillId="14" borderId="5" xfId="0" applyNumberFormat="1" applyFill="1" applyBorder="1"/>
    <xf numFmtId="177" fontId="0" fillId="13" borderId="5" xfId="2" applyFont="1" applyFill="1" applyBorder="1"/>
    <xf numFmtId="177" fontId="26" fillId="0" borderId="0" xfId="0" applyNumberFormat="1" applyFont="1"/>
    <xf numFmtId="188" fontId="0" fillId="13" borderId="5" xfId="0" applyNumberFormat="1" applyFill="1" applyBorder="1"/>
    <xf numFmtId="0" fontId="15" fillId="0" borderId="26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15" fillId="0" borderId="28" xfId="0" applyFont="1" applyBorder="1" applyAlignment="1">
      <alignment horizontal="justify" vertical="center" wrapText="1"/>
    </xf>
    <xf numFmtId="10" fontId="26" fillId="4" borderId="33" xfId="0" applyNumberFormat="1" applyFont="1" applyFill="1" applyBorder="1" applyAlignment="1">
      <alignment horizontal="center" vertical="center" wrapText="1"/>
    </xf>
    <xf numFmtId="10" fontId="15" fillId="0" borderId="0" xfId="3" applyNumberFormat="1" applyFont="1"/>
    <xf numFmtId="177" fontId="15" fillId="0" borderId="0" xfId="2" applyFont="1"/>
    <xf numFmtId="9" fontId="15" fillId="0" borderId="0" xfId="3" applyFont="1"/>
    <xf numFmtId="187" fontId="15" fillId="0" borderId="0" xfId="0" applyNumberFormat="1" applyFont="1"/>
    <xf numFmtId="10" fontId="6" fillId="4" borderId="35" xfId="0" applyNumberFormat="1" applyFont="1" applyFill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4" xfId="0" applyFont="1" applyBorder="1" applyAlignment="1">
      <alignment vertical="center" wrapText="1"/>
    </xf>
    <xf numFmtId="10" fontId="15" fillId="0" borderId="28" xfId="0" applyNumberFormat="1" applyFont="1" applyBorder="1" applyAlignment="1">
      <alignment horizontal="center" vertical="center" wrapText="1"/>
    </xf>
    <xf numFmtId="0" fontId="24" fillId="0" borderId="25" xfId="0" applyFont="1" applyBorder="1" applyAlignment="1">
      <alignment vertical="center" wrapText="1"/>
    </xf>
    <xf numFmtId="0" fontId="24" fillId="0" borderId="27" xfId="0" applyFont="1" applyBorder="1" applyAlignment="1">
      <alignment horizontal="center" vertical="center" wrapText="1"/>
    </xf>
    <xf numFmtId="187" fontId="26" fillId="0" borderId="33" xfId="0" applyNumberFormat="1" applyFont="1" applyBorder="1" applyAlignment="1">
      <alignment horizontal="center" vertical="center" wrapText="1"/>
    </xf>
    <xf numFmtId="187" fontId="6" fillId="0" borderId="33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187" fontId="26" fillId="0" borderId="0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3" fontId="26" fillId="0" borderId="38" xfId="0" applyNumberFormat="1" applyFont="1" applyBorder="1" applyAlignment="1">
      <alignment horizontal="center"/>
    </xf>
    <xf numFmtId="187" fontId="6" fillId="15" borderId="39" xfId="0" applyNumberFormat="1" applyFont="1" applyFill="1" applyBorder="1"/>
    <xf numFmtId="0" fontId="18" fillId="9" borderId="4" xfId="0" applyFont="1" applyFill="1" applyBorder="1" applyAlignment="1">
      <alignment horizontal="center" vertical="center"/>
    </xf>
    <xf numFmtId="4" fontId="20" fillId="0" borderId="6" xfId="0" applyNumberFormat="1" applyFont="1" applyBorder="1"/>
    <xf numFmtId="0" fontId="3" fillId="0" borderId="4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15" fillId="0" borderId="41" xfId="0" applyFont="1" applyBorder="1"/>
    <xf numFmtId="0" fontId="15" fillId="0" borderId="41" xfId="0" applyFont="1" applyBorder="1" applyAlignment="1">
      <alignment horizontal="center"/>
    </xf>
    <xf numFmtId="4" fontId="20" fillId="0" borderId="42" xfId="0" applyNumberFormat="1" applyFont="1" applyBorder="1"/>
    <xf numFmtId="187" fontId="15" fillId="4" borderId="28" xfId="0" applyNumberFormat="1" applyFont="1" applyFill="1" applyBorder="1" applyAlignment="1">
      <alignment horizontal="center" vertical="center" wrapText="1"/>
    </xf>
    <xf numFmtId="187" fontId="6" fillId="4" borderId="33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28" fillId="15" borderId="43" xfId="51" applyFont="1" applyFill="1" applyBorder="1" applyAlignment="1">
      <alignment horizontal="center" vertical="center" wrapText="1"/>
    </xf>
    <xf numFmtId="0" fontId="29" fillId="0" borderId="5" xfId="0" applyFont="1" applyBorder="1" applyAlignment="1">
      <alignment horizontal="left" vertical="center" wrapText="1"/>
    </xf>
    <xf numFmtId="177" fontId="9" fillId="0" borderId="5" xfId="2" applyFont="1" applyBorder="1"/>
    <xf numFmtId="184" fontId="9" fillId="0" borderId="5" xfId="0" applyNumberFormat="1" applyFont="1" applyBorder="1"/>
    <xf numFmtId="4" fontId="9" fillId="0" borderId="5" xfId="0" applyNumberFormat="1" applyFont="1" applyBorder="1"/>
    <xf numFmtId="177" fontId="9" fillId="0" borderId="5" xfId="0" applyNumberFormat="1" applyFont="1" applyBorder="1"/>
    <xf numFmtId="0" fontId="30" fillId="0" borderId="19" xfId="0" applyFont="1" applyBorder="1" applyAlignment="1">
      <alignment horizontal="right"/>
    </xf>
    <xf numFmtId="0" fontId="30" fillId="0" borderId="10" xfId="0" applyFont="1" applyBorder="1" applyAlignment="1">
      <alignment horizontal="right"/>
    </xf>
    <xf numFmtId="0" fontId="30" fillId="0" borderId="20" xfId="0" applyFont="1" applyBorder="1" applyAlignment="1">
      <alignment horizontal="right"/>
    </xf>
    <xf numFmtId="177" fontId="30" fillId="0" borderId="5" xfId="0" applyNumberFormat="1" applyFont="1" applyBorder="1"/>
    <xf numFmtId="0" fontId="19" fillId="10" borderId="41" xfId="0" applyFont="1" applyFill="1" applyBorder="1" applyAlignment="1">
      <alignment horizontal="center" vertical="center" wrapText="1"/>
    </xf>
    <xf numFmtId="0" fontId="19" fillId="9" borderId="5" xfId="0" applyFont="1" applyFill="1" applyBorder="1" applyAlignment="1">
      <alignment horizontal="center" vertical="center"/>
    </xf>
    <xf numFmtId="0" fontId="19" fillId="9" borderId="20" xfId="0" applyFont="1" applyFill="1" applyBorder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left" vertical="center" wrapText="1"/>
    </xf>
    <xf numFmtId="0" fontId="31" fillId="0" borderId="5" xfId="0" applyFont="1" applyBorder="1" applyAlignment="1">
      <alignment horizontal="left" vertical="center" wrapText="1"/>
    </xf>
    <xf numFmtId="4" fontId="31" fillId="0" borderId="5" xfId="0" applyNumberFormat="1" applyFont="1" applyBorder="1" applyAlignment="1">
      <alignment horizontal="right" vertical="center" wrapText="1"/>
    </xf>
    <xf numFmtId="189" fontId="31" fillId="0" borderId="5" xfId="0" applyNumberFormat="1" applyFont="1" applyBorder="1" applyAlignment="1">
      <alignment horizontal="left" vertical="center" wrapText="1"/>
    </xf>
    <xf numFmtId="177" fontId="31" fillId="0" borderId="20" xfId="2" applyFont="1" applyBorder="1" applyAlignment="1" applyProtection="1">
      <alignment horizontal="left" vertical="center"/>
    </xf>
    <xf numFmtId="0" fontId="31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190" fontId="19" fillId="0" borderId="20" xfId="0" applyNumberFormat="1" applyFont="1" applyBorder="1" applyAlignment="1">
      <alignment horizontal="left" vertical="center" wrapText="1"/>
    </xf>
    <xf numFmtId="177" fontId="19" fillId="0" borderId="5" xfId="2" applyFont="1" applyBorder="1" applyAlignment="1" applyProtection="1">
      <alignment horizontal="left" vertical="center"/>
    </xf>
    <xf numFmtId="0" fontId="19" fillId="0" borderId="5" xfId="0" applyFont="1" applyBorder="1" applyAlignment="1">
      <alignment horizontal="center" vertical="center"/>
    </xf>
    <xf numFmtId="177" fontId="19" fillId="0" borderId="20" xfId="2" applyFont="1" applyBorder="1" applyAlignment="1" applyProtection="1">
      <alignment horizontal="left" vertical="center"/>
    </xf>
  </cellXfs>
  <cellStyles count="6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Moeda 2" xfId="49"/>
    <cellStyle name="Normal 2" xfId="50"/>
    <cellStyle name="Normal 3" xfId="51"/>
    <cellStyle name="Vírgula 2" xfId="52"/>
    <cellStyle name="Vírgula 3" xfId="53"/>
    <cellStyle name="Vírgula 3 2" xfId="54"/>
    <cellStyle name="Vírgula 4" xfId="55"/>
    <cellStyle name="Vírgula 4 2" xfId="56"/>
    <cellStyle name="Vírgula 5" xfId="57"/>
    <cellStyle name="Vírgula 5 2" xfId="58"/>
    <cellStyle name="Vírgula 6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B3:G10"/>
  <sheetViews>
    <sheetView workbookViewId="0">
      <selection activeCell="F17" sqref="F17"/>
    </sheetView>
  </sheetViews>
  <sheetFormatPr defaultColWidth="9" defaultRowHeight="15" outlineLevelCol="6"/>
  <cols>
    <col min="2" max="2" width="7" customWidth="1"/>
    <col min="3" max="3" width="35.8571428571429" customWidth="1"/>
    <col min="4" max="4" width="8.42857142857143" customWidth="1"/>
    <col min="5" max="5" width="15.1428571428571" customWidth="1"/>
    <col min="6" max="6" width="19.4285714285714" customWidth="1"/>
    <col min="7" max="7" width="22.5714285714286" customWidth="1"/>
  </cols>
  <sheetData>
    <row r="3" ht="47.25" customHeight="1" spans="2:7">
      <c r="B3" s="218" t="s">
        <v>0</v>
      </c>
      <c r="C3" s="218"/>
      <c r="D3" s="218"/>
      <c r="E3" s="218"/>
      <c r="F3" s="218"/>
      <c r="G3" s="218"/>
    </row>
    <row r="4" ht="20.25" customHeight="1" spans="2:7">
      <c r="B4" s="219" t="s">
        <v>1</v>
      </c>
      <c r="C4" s="219" t="s">
        <v>2</v>
      </c>
      <c r="D4" s="219" t="s">
        <v>3</v>
      </c>
      <c r="E4" s="219" t="s">
        <v>4</v>
      </c>
      <c r="F4" s="219" t="s">
        <v>5</v>
      </c>
      <c r="G4" s="220" t="s">
        <v>6</v>
      </c>
    </row>
    <row r="5" customHeight="1" spans="2:7">
      <c r="B5" s="221">
        <v>1</v>
      </c>
      <c r="C5" s="222" t="s">
        <v>7</v>
      </c>
      <c r="D5" s="222"/>
      <c r="E5" s="222"/>
      <c r="F5" s="222"/>
      <c r="G5" s="222"/>
    </row>
    <row r="6" customHeight="1" spans="2:7">
      <c r="B6" s="221" t="s">
        <v>8</v>
      </c>
      <c r="C6" s="223" t="s">
        <v>9</v>
      </c>
      <c r="D6" s="221" t="s">
        <v>10</v>
      </c>
      <c r="E6" s="224">
        <f>'CALCULO DAS AREAS'!C25</f>
        <v>2404.3</v>
      </c>
      <c r="F6" s="225">
        <f>'Complemento para limpeza '!B35</f>
        <v>5.74444588065236</v>
      </c>
      <c r="G6" s="226">
        <f>E6*ROUND(F6,6)</f>
        <v>13811.3715178</v>
      </c>
    </row>
    <row r="7" customHeight="1" spans="2:7">
      <c r="B7" s="221" t="s">
        <v>11</v>
      </c>
      <c r="C7" s="223" t="s">
        <v>12</v>
      </c>
      <c r="D7" s="221" t="s">
        <v>10</v>
      </c>
      <c r="E7" s="224">
        <f>'CALCULO DAS AREAS'!C10</f>
        <v>217761.15</v>
      </c>
      <c r="F7" s="225">
        <f>'Complemento para limpeza '!B36</f>
        <v>0.157791751259039</v>
      </c>
      <c r="G7" s="226">
        <f t="shared" ref="G7:G8" si="0">E7*ROUND(F7,6)</f>
        <v>34360.9673808</v>
      </c>
    </row>
    <row r="8" spans="2:7">
      <c r="B8" s="227" t="s">
        <v>13</v>
      </c>
      <c r="C8" s="223" t="s">
        <v>14</v>
      </c>
      <c r="D8" s="221" t="s">
        <v>10</v>
      </c>
      <c r="E8" s="224">
        <f>'CALCULO DAS AREAS'!C29</f>
        <v>50.33</v>
      </c>
      <c r="F8" s="225">
        <f>'Complemento para limpeza '!B37</f>
        <v>1.55158063483479</v>
      </c>
      <c r="G8" s="226">
        <f t="shared" si="0"/>
        <v>78.09107173</v>
      </c>
    </row>
    <row r="9" spans="2:7">
      <c r="B9" s="228" t="s">
        <v>15</v>
      </c>
      <c r="C9" s="228"/>
      <c r="D9" s="228"/>
      <c r="E9" s="229"/>
      <c r="F9" s="230"/>
      <c r="G9" s="231">
        <f>SUM(G6:G8)</f>
        <v>48250.42997033</v>
      </c>
    </row>
    <row r="10" spans="2:7">
      <c r="B10" s="232" t="s">
        <v>16</v>
      </c>
      <c r="C10" s="232"/>
      <c r="D10" s="232"/>
      <c r="E10" s="232"/>
      <c r="F10" s="232"/>
      <c r="G10" s="233">
        <f>G9*12</f>
        <v>579005.15964396</v>
      </c>
    </row>
  </sheetData>
  <mergeCells count="4">
    <mergeCell ref="B3:G3"/>
    <mergeCell ref="C5:G5"/>
    <mergeCell ref="B9:E9"/>
    <mergeCell ref="B10:F10"/>
  </mergeCells>
  <pageMargins left="0.511811024" right="0.511811024" top="0.787401575" bottom="0.787401575" header="0.31496062" footer="0.3149606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B2:F12"/>
  <sheetViews>
    <sheetView workbookViewId="0">
      <selection activeCell="B21" sqref="B21"/>
    </sheetView>
  </sheetViews>
  <sheetFormatPr defaultColWidth="9" defaultRowHeight="15" outlineLevelCol="5"/>
  <cols>
    <col min="2" max="2" width="65.7142857142857" customWidth="1"/>
    <col min="3" max="3" width="15.5714285714286" customWidth="1"/>
    <col min="4" max="4" width="14.2857142857143" customWidth="1"/>
    <col min="5" max="5" width="13.5714285714286" customWidth="1"/>
    <col min="6" max="6" width="17.7142857142857" customWidth="1"/>
  </cols>
  <sheetData>
    <row r="2" spans="2:6">
      <c r="B2" s="206" t="s">
        <v>17</v>
      </c>
      <c r="C2" s="207"/>
      <c r="D2" s="207"/>
      <c r="E2" s="207"/>
      <c r="F2" s="207"/>
    </row>
    <row r="3" customHeight="1"/>
    <row r="4" s="205" customFormat="1" ht="59.25" customHeight="1" spans="2:6">
      <c r="B4" s="208" t="s">
        <v>18</v>
      </c>
      <c r="C4" s="208" t="s">
        <v>19</v>
      </c>
      <c r="D4" s="208" t="s">
        <v>20</v>
      </c>
      <c r="E4" s="208" t="s">
        <v>21</v>
      </c>
      <c r="F4" s="208" t="s">
        <v>22</v>
      </c>
    </row>
    <row r="5" spans="2:6">
      <c r="B5" s="209" t="s">
        <v>23</v>
      </c>
      <c r="C5" s="210">
        <f>ENCARREGADO!D144</f>
        <v>5455.16472598028</v>
      </c>
      <c r="D5" s="211">
        <f>'Complemento para limpeza '!D5</f>
        <v>0.571221437275423</v>
      </c>
      <c r="E5" s="212">
        <f>'Complemento para limpeza '!C35</f>
        <v>2404.3</v>
      </c>
      <c r="F5" s="213">
        <f>ROUND(D5,6)*E5</f>
        <v>1373.3866503</v>
      </c>
    </row>
    <row r="6" spans="2:6">
      <c r="B6" s="209" t="s">
        <v>24</v>
      </c>
      <c r="C6" s="210">
        <f>ENCARREGADO!D144</f>
        <v>5455.16472598028</v>
      </c>
      <c r="D6" s="211">
        <f>'Complemento para limpeza '!D15</f>
        <v>0.0156906397617864</v>
      </c>
      <c r="E6" s="212">
        <f>'Complemento para limpeza '!C36</f>
        <v>217761.15</v>
      </c>
      <c r="F6" s="213">
        <f t="shared" ref="F6:F10" si="0">ROUND(D6,6)*E6</f>
        <v>3416.89020465</v>
      </c>
    </row>
    <row r="7" spans="2:6">
      <c r="B7" s="209" t="s">
        <v>25</v>
      </c>
      <c r="C7" s="210">
        <f>ENCARREGADO!D144</f>
        <v>5455.16472598028</v>
      </c>
      <c r="D7" s="211">
        <f>'Complemento para limpeza '!G25</f>
        <v>0.154287487199442</v>
      </c>
      <c r="E7" s="212">
        <f>'CALCULO DAS AREAS'!C29</f>
        <v>50.33</v>
      </c>
      <c r="F7" s="213">
        <f t="shared" si="0"/>
        <v>7.76526471</v>
      </c>
    </row>
    <row r="8" spans="2:6">
      <c r="B8" s="209" t="s">
        <v>26</v>
      </c>
      <c r="C8" s="210">
        <f>SERVENTE!D148</f>
        <v>4940.42934342498</v>
      </c>
      <c r="D8" s="211">
        <f>'Complemento para limpeza '!D4</f>
        <v>5.17322444337694</v>
      </c>
      <c r="E8" s="212">
        <f>'Complemento para limpeza '!C35</f>
        <v>2404.3</v>
      </c>
      <c r="F8" s="213">
        <f t="shared" si="0"/>
        <v>12437.9824632</v>
      </c>
    </row>
    <row r="9" spans="2:6">
      <c r="B9" s="209" t="s">
        <v>27</v>
      </c>
      <c r="C9" s="210">
        <f>SERVENTE!D148</f>
        <v>4940.42934342498</v>
      </c>
      <c r="D9" s="211">
        <f>'Complemento para limpeza '!D14</f>
        <v>0.142101111497253</v>
      </c>
      <c r="E9" s="212">
        <f>'Complemento para limpeza '!C36</f>
        <v>217761.15</v>
      </c>
      <c r="F9" s="213">
        <f t="shared" si="0"/>
        <v>30944.07717615</v>
      </c>
    </row>
    <row r="10" spans="2:6">
      <c r="B10" s="209" t="s">
        <v>28</v>
      </c>
      <c r="C10" s="210">
        <f>SERVENTE!D148</f>
        <v>4940.42934342498</v>
      </c>
      <c r="D10" s="211">
        <f>'Complemento para limpeza '!G24</f>
        <v>1.39729314763535</v>
      </c>
      <c r="E10" s="212">
        <f>'CALCULO DAS AREAS'!C29</f>
        <v>50.33</v>
      </c>
      <c r="F10" s="213">
        <f t="shared" si="0"/>
        <v>70.32575669</v>
      </c>
    </row>
    <row r="11" ht="21" customHeight="1" spans="2:6">
      <c r="B11" s="214" t="s">
        <v>15</v>
      </c>
      <c r="C11" s="215"/>
      <c r="D11" s="215"/>
      <c r="E11" s="216"/>
      <c r="F11" s="217">
        <f>SUM(F5:F10)</f>
        <v>48250.4275157</v>
      </c>
    </row>
    <row r="12" spans="2:6">
      <c r="B12" s="214" t="s">
        <v>16</v>
      </c>
      <c r="C12" s="215"/>
      <c r="D12" s="215"/>
      <c r="E12" s="216"/>
      <c r="F12" s="217">
        <f>F11*12</f>
        <v>579005.1301884</v>
      </c>
    </row>
  </sheetData>
  <mergeCells count="2">
    <mergeCell ref="B11:E11"/>
    <mergeCell ref="B12:E12"/>
  </mergeCells>
  <pageMargins left="0.511811024" right="0.511811024" top="0.787401575" bottom="0.787401575" header="0.31496062" footer="0.3149606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2:O149"/>
  <sheetViews>
    <sheetView showGridLines="0" zoomScale="85" zoomScaleNormal="85" topLeftCell="A137" workbookViewId="0">
      <selection activeCell="F14" sqref="F14"/>
    </sheetView>
  </sheetViews>
  <sheetFormatPr defaultColWidth="9.14285714285714" defaultRowHeight="15.75"/>
  <cols>
    <col min="1" max="1" width="9.14285714285714" style="94"/>
    <col min="2" max="2" width="70.4285714285714" style="94" customWidth="1"/>
    <col min="3" max="3" width="16.2857142857143" style="94" customWidth="1"/>
    <col min="4" max="4" width="25.2857142857143" style="94" customWidth="1"/>
    <col min="5" max="5" width="14" style="94" customWidth="1"/>
    <col min="6" max="6" width="14.7142857142857" style="94" customWidth="1"/>
    <col min="7" max="7" width="13.1428571428571" style="94" customWidth="1"/>
    <col min="8" max="8" width="15.1428571428571" style="94" customWidth="1"/>
    <col min="9" max="12" width="9.14285714285714" style="94"/>
    <col min="13" max="13" width="10.5714285714286" style="94" customWidth="1"/>
    <col min="14" max="14" width="9.14285714285714" style="94"/>
    <col min="15" max="15" width="12.1428571428571" style="94" customWidth="1"/>
    <col min="16" max="16384" width="9.14285714285714" style="94"/>
  </cols>
  <sheetData>
    <row r="2" ht="23.25" spans="1:4">
      <c r="A2" s="95" t="s">
        <v>29</v>
      </c>
      <c r="B2" s="95"/>
      <c r="C2" s="95"/>
      <c r="D2" s="95"/>
    </row>
    <row r="3" ht="23.25" spans="1:4">
      <c r="A3" s="95" t="s">
        <v>30</v>
      </c>
      <c r="B3" s="95"/>
      <c r="C3" s="95"/>
      <c r="D3" s="95"/>
    </row>
    <row r="4" spans="1:4">
      <c r="A4" s="96" t="s">
        <v>31</v>
      </c>
      <c r="B4" s="96"/>
      <c r="C4" s="96"/>
      <c r="D4" s="96"/>
    </row>
    <row r="5" spans="1:4">
      <c r="A5" s="96"/>
      <c r="B5" s="96"/>
      <c r="C5" s="96"/>
      <c r="D5" s="96"/>
    </row>
    <row r="6" ht="16.5" spans="1:4">
      <c r="A6" s="96"/>
      <c r="B6" s="96"/>
      <c r="C6" s="96"/>
      <c r="D6" s="96"/>
    </row>
    <row r="7" ht="16.5" spans="1:4">
      <c r="A7" s="97" t="s">
        <v>32</v>
      </c>
      <c r="B7" s="98" t="s">
        <v>33</v>
      </c>
      <c r="C7" s="99" t="s">
        <v>34</v>
      </c>
      <c r="D7" s="100"/>
    </row>
    <row r="8" ht="16.5" spans="1:4">
      <c r="A8" s="101" t="s">
        <v>35</v>
      </c>
      <c r="B8" s="102" t="s">
        <v>36</v>
      </c>
      <c r="C8" s="99">
        <v>2025</v>
      </c>
      <c r="D8" s="100"/>
    </row>
    <row r="9" ht="16.5" spans="1:4">
      <c r="A9" s="101" t="s">
        <v>37</v>
      </c>
      <c r="B9" s="103" t="s">
        <v>38</v>
      </c>
      <c r="C9" s="104" t="s">
        <v>39</v>
      </c>
      <c r="D9" s="105"/>
    </row>
    <row r="10" ht="16.5" spans="1:4">
      <c r="A10" s="96"/>
      <c r="B10" s="96"/>
      <c r="C10" s="96"/>
      <c r="D10" s="96"/>
    </row>
    <row r="11" spans="1:4">
      <c r="A11" s="106" t="s">
        <v>40</v>
      </c>
      <c r="B11" s="107"/>
      <c r="C11" s="107"/>
      <c r="D11" s="108"/>
    </row>
    <row r="12" ht="36.95" customHeight="1" spans="1:4">
      <c r="A12" s="196" t="s">
        <v>41</v>
      </c>
      <c r="B12" s="109"/>
      <c r="C12" s="110" t="s">
        <v>42</v>
      </c>
      <c r="D12" s="111" t="s">
        <v>43</v>
      </c>
    </row>
    <row r="13" spans="1:4">
      <c r="A13" s="112" t="s">
        <v>44</v>
      </c>
      <c r="B13" s="113"/>
      <c r="C13" s="114" t="s">
        <v>45</v>
      </c>
      <c r="D13" s="197">
        <v>2454.63</v>
      </c>
    </row>
    <row r="14" spans="1:4">
      <c r="A14" s="198" t="s">
        <v>46</v>
      </c>
      <c r="B14" s="113"/>
      <c r="C14" s="114" t="s">
        <v>45</v>
      </c>
      <c r="D14" s="197">
        <v>217761.15</v>
      </c>
    </row>
    <row r="15" ht="16.5" spans="1:4">
      <c r="A15" s="199" t="s">
        <v>47</v>
      </c>
      <c r="B15" s="200"/>
      <c r="C15" s="201" t="s">
        <v>45</v>
      </c>
      <c r="D15" s="202">
        <v>50.33</v>
      </c>
    </row>
    <row r="16" customHeight="1" spans="1:4">
      <c r="A16" s="116" t="s">
        <v>48</v>
      </c>
      <c r="B16" s="117"/>
      <c r="C16" s="118" t="s">
        <v>49</v>
      </c>
      <c r="D16" s="119"/>
    </row>
    <row r="17" customHeight="1" spans="1:4">
      <c r="A17" s="120"/>
      <c r="B17" s="120"/>
      <c r="C17" s="121"/>
      <c r="D17" s="121"/>
    </row>
    <row r="18" ht="59.25" customHeight="1" spans="1:4">
      <c r="A18" s="116" t="s">
        <v>50</v>
      </c>
      <c r="B18" s="117"/>
      <c r="C18" s="117"/>
      <c r="D18" s="122"/>
    </row>
    <row r="19" ht="15" spans="1:4">
      <c r="A19" s="123"/>
      <c r="B19" s="124"/>
      <c r="C19" s="124"/>
      <c r="D19" s="125"/>
    </row>
    <row r="20" spans="1:4">
      <c r="A20" s="126" t="s">
        <v>51</v>
      </c>
      <c r="B20" s="126"/>
      <c r="C20" s="126"/>
      <c r="D20" s="126"/>
    </row>
    <row r="22" ht="16.5" spans="1:4">
      <c r="A22" s="127">
        <v>1</v>
      </c>
      <c r="B22" s="128" t="s">
        <v>52</v>
      </c>
      <c r="C22" s="128" t="s">
        <v>53</v>
      </c>
      <c r="D22" s="128" t="s">
        <v>6</v>
      </c>
    </row>
    <row r="23" ht="16.5" spans="1:4">
      <c r="A23" s="101" t="s">
        <v>32</v>
      </c>
      <c r="B23" s="102" t="s">
        <v>54</v>
      </c>
      <c r="C23" s="129"/>
      <c r="D23" s="130">
        <v>1528.65</v>
      </c>
    </row>
    <row r="24" ht="16.5" spans="1:4">
      <c r="A24" s="101" t="s">
        <v>35</v>
      </c>
      <c r="B24" s="102" t="s">
        <v>55</v>
      </c>
      <c r="C24" s="129"/>
      <c r="D24" s="130"/>
    </row>
    <row r="25" ht="16.5" spans="1:4">
      <c r="A25" s="101" t="s">
        <v>37</v>
      </c>
      <c r="B25" s="102" t="s">
        <v>56</v>
      </c>
      <c r="C25" s="131">
        <v>0.2</v>
      </c>
      <c r="D25" s="130">
        <f>1518*C25</f>
        <v>303.6</v>
      </c>
    </row>
    <row r="26" ht="16.5" spans="1:4">
      <c r="A26" s="101" t="s">
        <v>57</v>
      </c>
      <c r="B26" s="102" t="s">
        <v>58</v>
      </c>
      <c r="C26" s="129"/>
      <c r="D26" s="130"/>
    </row>
    <row r="27" ht="16.5" spans="1:4">
      <c r="A27" s="101" t="s">
        <v>59</v>
      </c>
      <c r="B27" s="102" t="s">
        <v>60</v>
      </c>
      <c r="C27" s="129"/>
      <c r="D27" s="130"/>
    </row>
    <row r="28" ht="16.5" spans="1:4">
      <c r="A28" s="101" t="s">
        <v>61</v>
      </c>
      <c r="B28" s="102" t="s">
        <v>62</v>
      </c>
      <c r="C28" s="129"/>
      <c r="D28" s="130"/>
    </row>
    <row r="29" ht="16.5" spans="1:4">
      <c r="A29" s="132" t="s">
        <v>63</v>
      </c>
      <c r="B29" s="133"/>
      <c r="C29" s="97"/>
      <c r="D29" s="134">
        <f>SUM(D23:D28)</f>
        <v>1832.25</v>
      </c>
    </row>
    <row r="30" spans="4:4">
      <c r="D30" s="135"/>
    </row>
    <row r="32" spans="1:4">
      <c r="A32" s="136" t="s">
        <v>64</v>
      </c>
      <c r="B32" s="136"/>
      <c r="C32" s="136"/>
      <c r="D32" s="136"/>
    </row>
    <row r="33" spans="1:1">
      <c r="A33" s="137"/>
    </row>
    <row r="34" spans="1:4">
      <c r="A34" s="138" t="s">
        <v>65</v>
      </c>
      <c r="B34" s="138"/>
      <c r="C34" s="138"/>
      <c r="D34" s="138"/>
    </row>
    <row r="36" ht="16.5" spans="1:7">
      <c r="A36" s="127" t="s">
        <v>66</v>
      </c>
      <c r="B36" s="128" t="s">
        <v>67</v>
      </c>
      <c r="C36" s="128" t="s">
        <v>53</v>
      </c>
      <c r="D36" s="128" t="s">
        <v>6</v>
      </c>
      <c r="G36" s="94">
        <v>3000</v>
      </c>
    </row>
    <row r="37" ht="16.5" spans="1:6">
      <c r="A37" s="101" t="s">
        <v>32</v>
      </c>
      <c r="B37" s="140" t="s">
        <v>68</v>
      </c>
      <c r="C37" s="141">
        <f>1/12</f>
        <v>0.0833333333333333</v>
      </c>
      <c r="D37" s="142">
        <f>D29*C37</f>
        <v>152.6875</v>
      </c>
      <c r="E37" s="143"/>
      <c r="F37" s="143"/>
    </row>
    <row r="38" ht="16.5" spans="1:7">
      <c r="A38" s="101" t="s">
        <v>35</v>
      </c>
      <c r="B38" s="144" t="s">
        <v>69</v>
      </c>
      <c r="C38" s="141">
        <f>(1+1/3)*(1/12)</f>
        <v>0.111111111111111</v>
      </c>
      <c r="D38" s="142">
        <f>D29*C38</f>
        <v>203.583333333333</v>
      </c>
      <c r="E38" s="143"/>
      <c r="F38" s="175">
        <f>(1/3)*(1/12)</f>
        <v>0.0277777777777778</v>
      </c>
      <c r="G38" s="175">
        <f>(1+1/3)*(1/12)</f>
        <v>0.111111111111111</v>
      </c>
    </row>
    <row r="39" ht="16.5" spans="1:7">
      <c r="A39" s="145" t="s">
        <v>63</v>
      </c>
      <c r="B39" s="146"/>
      <c r="C39" s="147"/>
      <c r="D39" s="134">
        <f>SUM(D37:D38)</f>
        <v>356.270833333333</v>
      </c>
      <c r="F39" s="94">
        <f>G36*F38</f>
        <v>83.3333333333333</v>
      </c>
      <c r="G39" s="94">
        <f>G36*G38</f>
        <v>333.333333333333</v>
      </c>
    </row>
    <row r="40" spans="7:7">
      <c r="G40" s="94">
        <f>4000/12</f>
        <v>333.333333333333</v>
      </c>
    </row>
    <row r="42" ht="32.25" customHeight="1" spans="1:4">
      <c r="A42" s="148" t="s">
        <v>70</v>
      </c>
      <c r="B42" s="148"/>
      <c r="C42" s="148"/>
      <c r="D42" s="148"/>
    </row>
    <row r="44" ht="16.5" spans="1:4">
      <c r="A44" s="127" t="s">
        <v>71</v>
      </c>
      <c r="B44" s="128" t="s">
        <v>72</v>
      </c>
      <c r="C44" s="128" t="s">
        <v>53</v>
      </c>
      <c r="D44" s="128" t="s">
        <v>6</v>
      </c>
    </row>
    <row r="45" ht="16.5" spans="1:4">
      <c r="A45" s="101" t="s">
        <v>32</v>
      </c>
      <c r="B45" s="102" t="s">
        <v>73</v>
      </c>
      <c r="C45" s="149">
        <v>0.2</v>
      </c>
      <c r="D45" s="150">
        <f t="shared" ref="D45:D52" si="0">($D$39+$D$29)*C45</f>
        <v>437.704166666667</v>
      </c>
    </row>
    <row r="46" ht="16.5" spans="1:4">
      <c r="A46" s="101" t="s">
        <v>35</v>
      </c>
      <c r="B46" s="102" t="s">
        <v>74</v>
      </c>
      <c r="C46" s="149">
        <v>0.025</v>
      </c>
      <c r="D46" s="150">
        <f t="shared" si="0"/>
        <v>54.7130208333333</v>
      </c>
    </row>
    <row r="47" ht="16.5" spans="1:4">
      <c r="A47" s="101" t="s">
        <v>37</v>
      </c>
      <c r="B47" s="102" t="s">
        <v>75</v>
      </c>
      <c r="C47" s="149">
        <v>0.03</v>
      </c>
      <c r="D47" s="150">
        <f t="shared" si="0"/>
        <v>65.655625</v>
      </c>
    </row>
    <row r="48" ht="16.5" spans="1:4">
      <c r="A48" s="101" t="s">
        <v>57</v>
      </c>
      <c r="B48" s="102" t="s">
        <v>76</v>
      </c>
      <c r="C48" s="149">
        <v>0.015</v>
      </c>
      <c r="D48" s="150">
        <f t="shared" si="0"/>
        <v>32.8278125</v>
      </c>
    </row>
    <row r="49" ht="16.5" spans="1:4">
      <c r="A49" s="101" t="s">
        <v>59</v>
      </c>
      <c r="B49" s="102" t="s">
        <v>77</v>
      </c>
      <c r="C49" s="149">
        <v>0.01</v>
      </c>
      <c r="D49" s="150">
        <f t="shared" si="0"/>
        <v>21.8852083333333</v>
      </c>
    </row>
    <row r="50" ht="16.5" spans="1:4">
      <c r="A50" s="101" t="s">
        <v>78</v>
      </c>
      <c r="B50" s="102" t="s">
        <v>79</v>
      </c>
      <c r="C50" s="149">
        <v>0.006</v>
      </c>
      <c r="D50" s="150">
        <f t="shared" si="0"/>
        <v>13.131125</v>
      </c>
    </row>
    <row r="51" ht="16.5" spans="1:4">
      <c r="A51" s="101" t="s">
        <v>61</v>
      </c>
      <c r="B51" s="102" t="s">
        <v>80</v>
      </c>
      <c r="C51" s="149">
        <v>0.002</v>
      </c>
      <c r="D51" s="150">
        <f t="shared" si="0"/>
        <v>4.37704166666667</v>
      </c>
    </row>
    <row r="52" ht="16.5" spans="1:4">
      <c r="A52" s="101" t="s">
        <v>81</v>
      </c>
      <c r="B52" s="102" t="s">
        <v>82</v>
      </c>
      <c r="C52" s="149">
        <v>0.08</v>
      </c>
      <c r="D52" s="150">
        <f t="shared" si="0"/>
        <v>175.081666666667</v>
      </c>
    </row>
    <row r="53" ht="16.5" spans="1:4">
      <c r="A53" s="132" t="s">
        <v>83</v>
      </c>
      <c r="B53" s="128"/>
      <c r="C53" s="141">
        <f>SUM(C45:C52)</f>
        <v>0.368</v>
      </c>
      <c r="D53" s="151">
        <f>SUM(D45:D52)</f>
        <v>805.375666666667</v>
      </c>
    </row>
    <row r="56" spans="1:4">
      <c r="A56" s="138" t="s">
        <v>84</v>
      </c>
      <c r="B56" s="138"/>
      <c r="C56" s="138"/>
      <c r="D56" s="138"/>
    </row>
    <row r="57" ht="16.5" spans="8:15">
      <c r="H57" s="152" t="s">
        <v>85</v>
      </c>
      <c r="I57" s="157"/>
      <c r="J57" s="157"/>
      <c r="K57" s="157"/>
      <c r="L57" s="157"/>
      <c r="M57" s="158"/>
      <c r="N57" s="159"/>
      <c r="O57" s="159"/>
    </row>
    <row r="58" ht="16.5" spans="1:15">
      <c r="A58" s="127" t="s">
        <v>86</v>
      </c>
      <c r="B58" s="128" t="s">
        <v>87</v>
      </c>
      <c r="C58" s="128" t="s">
        <v>53</v>
      </c>
      <c r="D58" s="128" t="s">
        <v>6</v>
      </c>
      <c r="H58" s="153"/>
      <c r="I58" s="160" t="s">
        <v>88</v>
      </c>
      <c r="J58" s="160" t="s">
        <v>89</v>
      </c>
      <c r="K58" s="160" t="s">
        <v>90</v>
      </c>
      <c r="L58" s="160" t="s">
        <v>91</v>
      </c>
      <c r="M58" s="161" t="s">
        <v>92</v>
      </c>
      <c r="N58" s="159"/>
      <c r="O58" s="159"/>
    </row>
    <row r="59" ht="16.5" spans="1:15">
      <c r="A59" s="101" t="s">
        <v>32</v>
      </c>
      <c r="B59" s="140" t="s">
        <v>93</v>
      </c>
      <c r="C59" s="129"/>
      <c r="D59" s="130"/>
      <c r="H59" s="154" t="s">
        <v>94</v>
      </c>
      <c r="I59" s="162"/>
      <c r="J59" s="160"/>
      <c r="K59" s="160"/>
      <c r="L59" s="160">
        <f>I59*J59*K59</f>
        <v>0</v>
      </c>
      <c r="M59" s="163"/>
      <c r="N59" s="159"/>
      <c r="O59" s="159"/>
    </row>
    <row r="60" ht="16.5" spans="1:15">
      <c r="A60" s="101" t="s">
        <v>35</v>
      </c>
      <c r="B60" s="140" t="s">
        <v>95</v>
      </c>
      <c r="C60" s="129"/>
      <c r="D60" s="150">
        <f>15*22</f>
        <v>330</v>
      </c>
      <c r="H60" s="154" t="s">
        <v>96</v>
      </c>
      <c r="I60" s="162">
        <v>15</v>
      </c>
      <c r="J60" s="160">
        <v>1</v>
      </c>
      <c r="K60" s="160">
        <v>22</v>
      </c>
      <c r="L60" s="160">
        <f>I60*J60*K60</f>
        <v>330</v>
      </c>
      <c r="M60" s="164">
        <f>L60</f>
        <v>330</v>
      </c>
      <c r="N60" s="159"/>
      <c r="O60" s="159"/>
    </row>
    <row r="61" ht="16.5" spans="1:15">
      <c r="A61" s="101" t="s">
        <v>57</v>
      </c>
      <c r="B61" s="140" t="s">
        <v>97</v>
      </c>
      <c r="C61" s="129"/>
      <c r="D61" s="150">
        <f>M61</f>
        <v>78.59</v>
      </c>
      <c r="H61" s="155" t="s">
        <v>98</v>
      </c>
      <c r="I61" s="165">
        <v>78.59</v>
      </c>
      <c r="J61" s="165"/>
      <c r="K61" s="165"/>
      <c r="L61" s="165"/>
      <c r="M61" s="166">
        <f>I61</f>
        <v>78.59</v>
      </c>
      <c r="N61" s="159"/>
      <c r="O61" s="167">
        <f>M60+M62</f>
        <v>472.05</v>
      </c>
    </row>
    <row r="62" ht="16.5" spans="1:15">
      <c r="A62" s="101" t="s">
        <v>59</v>
      </c>
      <c r="B62" s="140" t="s">
        <v>99</v>
      </c>
      <c r="C62" s="129"/>
      <c r="D62" s="150"/>
      <c r="H62" s="154" t="s">
        <v>100</v>
      </c>
      <c r="I62" s="165">
        <v>142.05</v>
      </c>
      <c r="J62" s="165"/>
      <c r="K62" s="165"/>
      <c r="L62" s="165"/>
      <c r="M62" s="166">
        <f>I62</f>
        <v>142.05</v>
      </c>
      <c r="N62" s="159"/>
      <c r="O62" s="159"/>
    </row>
    <row r="63" ht="16.5" spans="1:15">
      <c r="A63" s="101" t="s">
        <v>61</v>
      </c>
      <c r="B63" s="140" t="s">
        <v>101</v>
      </c>
      <c r="C63" s="129"/>
      <c r="D63" s="156">
        <f>M62</f>
        <v>142.05</v>
      </c>
      <c r="H63" s="155" t="s">
        <v>102</v>
      </c>
      <c r="I63" s="165">
        <v>0</v>
      </c>
      <c r="J63" s="165"/>
      <c r="K63" s="165"/>
      <c r="L63" s="165"/>
      <c r="M63" s="168">
        <f>I63</f>
        <v>0</v>
      </c>
      <c r="N63" s="159"/>
      <c r="O63" s="159"/>
    </row>
    <row r="64" ht="16.5" spans="1:4">
      <c r="A64" s="132" t="s">
        <v>63</v>
      </c>
      <c r="B64" s="128"/>
      <c r="C64" s="129"/>
      <c r="D64" s="150">
        <f>SUM(D59:D63)</f>
        <v>550.64</v>
      </c>
    </row>
    <row r="67" spans="1:4">
      <c r="A67" s="138" t="s">
        <v>103</v>
      </c>
      <c r="B67" s="138"/>
      <c r="C67" s="138"/>
      <c r="D67" s="138"/>
    </row>
    <row r="69" ht="16.5" spans="1:4">
      <c r="A69" s="127">
        <v>2</v>
      </c>
      <c r="B69" s="132" t="s">
        <v>104</v>
      </c>
      <c r="C69" s="128"/>
      <c r="D69" s="128" t="s">
        <v>6</v>
      </c>
    </row>
    <row r="70" ht="16.5" spans="1:4">
      <c r="A70" s="101" t="s">
        <v>66</v>
      </c>
      <c r="B70" s="169" t="s">
        <v>67</v>
      </c>
      <c r="C70" s="170"/>
      <c r="D70" s="150">
        <f>D39</f>
        <v>356.270833333333</v>
      </c>
    </row>
    <row r="71" ht="16.5" spans="1:4">
      <c r="A71" s="101" t="s">
        <v>71</v>
      </c>
      <c r="B71" s="169" t="s">
        <v>72</v>
      </c>
      <c r="C71" s="170"/>
      <c r="D71" s="150">
        <f>D53</f>
        <v>805.375666666667</v>
      </c>
    </row>
    <row r="72" ht="16.5" spans="1:4">
      <c r="A72" s="101" t="s">
        <v>86</v>
      </c>
      <c r="B72" s="169" t="s">
        <v>87</v>
      </c>
      <c r="C72" s="170"/>
      <c r="D72" s="150">
        <f>D64</f>
        <v>550.64</v>
      </c>
    </row>
    <row r="73" ht="16.5" spans="1:4">
      <c r="A73" s="132" t="s">
        <v>63</v>
      </c>
      <c r="B73" s="133"/>
      <c r="C73" s="128"/>
      <c r="D73" s="150">
        <f>SUM(D70:D72)</f>
        <v>1712.2865</v>
      </c>
    </row>
    <row r="74" spans="1:1">
      <c r="A74" s="171"/>
    </row>
    <row r="76" spans="1:4">
      <c r="A76" s="136" t="s">
        <v>105</v>
      </c>
      <c r="B76" s="136"/>
      <c r="C76" s="136"/>
      <c r="D76" s="136"/>
    </row>
    <row r="78" ht="16.5" spans="1:5">
      <c r="A78" s="127">
        <v>3</v>
      </c>
      <c r="B78" s="128" t="s">
        <v>106</v>
      </c>
      <c r="C78" s="128" t="s">
        <v>53</v>
      </c>
      <c r="D78" s="128" t="s">
        <v>6</v>
      </c>
      <c r="E78" s="172"/>
    </row>
    <row r="79" ht="16.5" spans="1:7">
      <c r="A79" s="101" t="s">
        <v>32</v>
      </c>
      <c r="B79" s="173" t="s">
        <v>107</v>
      </c>
      <c r="C79" s="174">
        <f>56.24%*5.55%*(1/12)</f>
        <v>0.0026011</v>
      </c>
      <c r="D79" s="150">
        <f t="shared" ref="D79:D84" si="1">C79*($D$29+$D$39)</f>
        <v>5.69256153958333</v>
      </c>
      <c r="E79" s="175"/>
      <c r="F79" s="176"/>
      <c r="G79" s="175"/>
    </row>
    <row r="80" ht="16.5" spans="1:6">
      <c r="A80" s="101" t="s">
        <v>35</v>
      </c>
      <c r="B80" s="173" t="s">
        <v>108</v>
      </c>
      <c r="C80" s="174">
        <f>(0.26%*8%)</f>
        <v>0.000208</v>
      </c>
      <c r="D80" s="150">
        <f t="shared" si="1"/>
        <v>0.455212333333333</v>
      </c>
      <c r="E80" s="175"/>
      <c r="F80" s="143"/>
    </row>
    <row r="81" ht="16.5" spans="1:6">
      <c r="A81" s="101" t="s">
        <v>37</v>
      </c>
      <c r="B81" s="173" t="s">
        <v>109</v>
      </c>
      <c r="C81" s="174">
        <f>56.24%*5.55%*40%*8%</f>
        <v>0.0009988224</v>
      </c>
      <c r="D81" s="150">
        <f t="shared" si="1"/>
        <v>2.1859436312</v>
      </c>
      <c r="E81" s="177"/>
      <c r="F81" s="178"/>
    </row>
    <row r="82" ht="16.5" spans="1:6">
      <c r="A82" s="101" t="s">
        <v>57</v>
      </c>
      <c r="B82" s="173" t="s">
        <v>110</v>
      </c>
      <c r="C82" s="174">
        <f>(56.24%)*94.45%*(7/30)/12</f>
        <v>0.0103286322222222</v>
      </c>
      <c r="D82" s="150">
        <f t="shared" si="1"/>
        <v>22.6044267981713</v>
      </c>
      <c r="E82" s="143"/>
      <c r="F82" s="143"/>
    </row>
    <row r="83" ht="16.5" spans="1:4">
      <c r="A83" s="101" t="s">
        <v>59</v>
      </c>
      <c r="B83" s="173" t="s">
        <v>111</v>
      </c>
      <c r="C83" s="174">
        <f>(1.03%*36.8%)</f>
        <v>0.0037904</v>
      </c>
      <c r="D83" s="150">
        <f t="shared" si="1"/>
        <v>8.29536936666667</v>
      </c>
    </row>
    <row r="84" ht="16.5" spans="1:4">
      <c r="A84" s="101" t="s">
        <v>78</v>
      </c>
      <c r="B84" s="173" t="s">
        <v>112</v>
      </c>
      <c r="C84" s="174">
        <f>56.24%*94.45%*40%*8%</f>
        <v>0.0169979776</v>
      </c>
      <c r="D84" s="150">
        <f t="shared" si="1"/>
        <v>37.2004281021333</v>
      </c>
    </row>
    <row r="85" ht="16.5" spans="1:4">
      <c r="A85" s="132" t="s">
        <v>63</v>
      </c>
      <c r="B85" s="128"/>
      <c r="C85" s="179">
        <f>SUM(C79:C84)</f>
        <v>0.0349249322222222</v>
      </c>
      <c r="D85" s="150">
        <f>SUM(D79:D84)</f>
        <v>76.433941771088</v>
      </c>
    </row>
    <row r="88" spans="1:4">
      <c r="A88" s="136" t="s">
        <v>113</v>
      </c>
      <c r="B88" s="136"/>
      <c r="C88" s="136"/>
      <c r="D88" s="136"/>
    </row>
    <row r="91" spans="1:4">
      <c r="A91" s="138" t="s">
        <v>114</v>
      </c>
      <c r="B91" s="138"/>
      <c r="C91" s="138"/>
      <c r="D91" s="138"/>
    </row>
    <row r="92" ht="16.5" spans="1:1">
      <c r="A92" s="137"/>
    </row>
    <row r="93" ht="16.5" spans="1:4">
      <c r="A93" s="127" t="s">
        <v>115</v>
      </c>
      <c r="B93" s="128" t="s">
        <v>116</v>
      </c>
      <c r="C93" s="128" t="s">
        <v>53</v>
      </c>
      <c r="D93" s="128" t="s">
        <v>6</v>
      </c>
    </row>
    <row r="94" ht="16.5" spans="1:4">
      <c r="A94" s="97" t="s">
        <v>32</v>
      </c>
      <c r="B94" s="98" t="s">
        <v>117</v>
      </c>
      <c r="C94" s="141">
        <v>0.0833333333333333</v>
      </c>
      <c r="D94" s="150">
        <f>($D$29+$D$73)*C94</f>
        <v>295.378041666667</v>
      </c>
    </row>
    <row r="95" ht="16.5" spans="1:4">
      <c r="A95" s="101" t="s">
        <v>35</v>
      </c>
      <c r="B95" s="102" t="s">
        <v>116</v>
      </c>
      <c r="C95" s="141">
        <f>(8/30)*(1/12)</f>
        <v>0.0222222222222222</v>
      </c>
      <c r="D95" s="150">
        <f t="shared" ref="D95:D98" si="2">($D$29+$D$73)*C95</f>
        <v>78.7674777777778</v>
      </c>
    </row>
    <row r="96" ht="16.5" spans="1:4">
      <c r="A96" s="180" t="s">
        <v>37</v>
      </c>
      <c r="B96" s="181" t="s">
        <v>118</v>
      </c>
      <c r="C96" s="141">
        <f>(20/30)/12*1.416%*45.22%</f>
        <v>0.000355730666666667</v>
      </c>
      <c r="D96" s="150">
        <f t="shared" si="2"/>
        <v>1.26090033216933</v>
      </c>
    </row>
    <row r="97" ht="16.5" spans="1:4">
      <c r="A97" s="182" t="s">
        <v>57</v>
      </c>
      <c r="B97" s="183" t="s">
        <v>119</v>
      </c>
      <c r="C97" s="141">
        <f>(15/30)/12*0.44%</f>
        <v>0.000183333333333333</v>
      </c>
      <c r="D97" s="150">
        <f t="shared" si="2"/>
        <v>0.649831691666667</v>
      </c>
    </row>
    <row r="98" ht="16.5" spans="1:4">
      <c r="A98" s="101" t="s">
        <v>59</v>
      </c>
      <c r="B98" s="102" t="s">
        <v>120</v>
      </c>
      <c r="C98" s="141">
        <f>(120/30)/12*1.416%*54.78%*36.8%</f>
        <v>0.000951506688</v>
      </c>
      <c r="D98" s="150">
        <f t="shared" si="2"/>
        <v>3.37265018561011</v>
      </c>
    </row>
    <row r="99" ht="16.5" spans="1:4">
      <c r="A99" s="101" t="s">
        <v>78</v>
      </c>
      <c r="B99" s="102" t="s">
        <v>62</v>
      </c>
      <c r="C99" s="141"/>
      <c r="D99" s="150"/>
    </row>
    <row r="100" ht="16.5" spans="1:4">
      <c r="A100" s="132" t="s">
        <v>83</v>
      </c>
      <c r="B100" s="128"/>
      <c r="C100" s="141">
        <f>SUM(C93:C99)</f>
        <v>0.107046126243556</v>
      </c>
      <c r="D100" s="150">
        <f>SUM(D94:D99)</f>
        <v>379.42890165389</v>
      </c>
    </row>
    <row r="103" spans="1:4">
      <c r="A103" s="138" t="s">
        <v>121</v>
      </c>
      <c r="B103" s="138"/>
      <c r="C103" s="138"/>
      <c r="D103" s="138"/>
    </row>
    <row r="104" ht="16.5" spans="1:1">
      <c r="A104" s="137"/>
    </row>
    <row r="105" ht="16.5" spans="1:4">
      <c r="A105" s="127" t="s">
        <v>122</v>
      </c>
      <c r="B105" s="128" t="s">
        <v>123</v>
      </c>
      <c r="C105" s="128" t="s">
        <v>53</v>
      </c>
      <c r="D105" s="128" t="s">
        <v>6</v>
      </c>
    </row>
    <row r="106" ht="16.5" spans="1:4">
      <c r="A106" s="101" t="s">
        <v>32</v>
      </c>
      <c r="B106" s="102" t="s">
        <v>124</v>
      </c>
      <c r="C106" s="184"/>
      <c r="D106" s="150"/>
    </row>
    <row r="107" ht="16.5" spans="1:4">
      <c r="A107" s="132" t="s">
        <v>63</v>
      </c>
      <c r="B107" s="128"/>
      <c r="C107" s="129"/>
      <c r="D107" s="150"/>
    </row>
    <row r="110" spans="1:4">
      <c r="A110" s="138" t="s">
        <v>125</v>
      </c>
      <c r="B110" s="138"/>
      <c r="C110" s="138"/>
      <c r="D110" s="138"/>
    </row>
    <row r="111" ht="16.5" spans="1:1">
      <c r="A111" s="137"/>
    </row>
    <row r="112" ht="16.5" spans="1:4">
      <c r="A112" s="127">
        <v>4</v>
      </c>
      <c r="B112" s="128" t="s">
        <v>126</v>
      </c>
      <c r="C112" s="128" t="s">
        <v>53</v>
      </c>
      <c r="D112" s="128" t="s">
        <v>6</v>
      </c>
    </row>
    <row r="113" ht="16.5" spans="1:4">
      <c r="A113" s="101" t="s">
        <v>115</v>
      </c>
      <c r="B113" s="102" t="s">
        <v>116</v>
      </c>
      <c r="C113" s="129"/>
      <c r="D113" s="150">
        <f>D100</f>
        <v>379.42890165389</v>
      </c>
    </row>
    <row r="114" ht="16.5" spans="1:4">
      <c r="A114" s="101" t="s">
        <v>122</v>
      </c>
      <c r="B114" s="102" t="s">
        <v>123</v>
      </c>
      <c r="C114" s="129"/>
      <c r="D114" s="150"/>
    </row>
    <row r="115" ht="16.5" spans="1:4">
      <c r="A115" s="132" t="s">
        <v>63</v>
      </c>
      <c r="B115" s="128"/>
      <c r="C115" s="129"/>
      <c r="D115" s="150">
        <f>SUM(D113:D114)</f>
        <v>379.42890165389</v>
      </c>
    </row>
    <row r="116" spans="4:4">
      <c r="D116" s="135"/>
    </row>
    <row r="118" spans="1:4">
      <c r="A118" s="136" t="s">
        <v>127</v>
      </c>
      <c r="B118" s="136"/>
      <c r="C118" s="136"/>
      <c r="D118" s="136"/>
    </row>
    <row r="120" ht="16.5" spans="1:4">
      <c r="A120" s="127">
        <v>5</v>
      </c>
      <c r="B120" s="185" t="s">
        <v>128</v>
      </c>
      <c r="C120" s="128" t="s">
        <v>53</v>
      </c>
      <c r="D120" s="128" t="s">
        <v>6</v>
      </c>
    </row>
    <row r="121" ht="16.5" spans="1:4">
      <c r="A121" s="101" t="s">
        <v>32</v>
      </c>
      <c r="B121" s="140" t="s">
        <v>129</v>
      </c>
      <c r="C121" s="129"/>
      <c r="D121" s="150">
        <f>25.53</f>
        <v>25.53</v>
      </c>
    </row>
    <row r="122" ht="16.5" spans="1:4">
      <c r="A122" s="101" t="s">
        <v>35</v>
      </c>
      <c r="B122" s="140" t="s">
        <v>130</v>
      </c>
      <c r="C122" s="129"/>
      <c r="D122" s="150">
        <v>124.54</v>
      </c>
    </row>
    <row r="123" ht="16.5" spans="1:4">
      <c r="A123" s="132" t="s">
        <v>83</v>
      </c>
      <c r="B123" s="128"/>
      <c r="C123" s="129"/>
      <c r="D123" s="150">
        <f>SUM(D121:D122)</f>
        <v>150.07</v>
      </c>
    </row>
    <row r="126" spans="1:4">
      <c r="A126" s="136" t="s">
        <v>131</v>
      </c>
      <c r="B126" s="136"/>
      <c r="C126" s="136"/>
      <c r="D126" s="136"/>
    </row>
    <row r="128" ht="16.5" spans="1:4">
      <c r="A128" s="127">
        <v>6</v>
      </c>
      <c r="B128" s="185" t="s">
        <v>132</v>
      </c>
      <c r="C128" s="128" t="s">
        <v>53</v>
      </c>
      <c r="D128" s="128" t="s">
        <v>6</v>
      </c>
    </row>
    <row r="129" ht="16.5" spans="1:4">
      <c r="A129" s="101" t="s">
        <v>32</v>
      </c>
      <c r="B129" s="102" t="s">
        <v>133</v>
      </c>
      <c r="C129" s="141">
        <v>0.03</v>
      </c>
      <c r="D129" s="147">
        <f>TRUNC(C129*D146,2)</f>
        <v>124.51</v>
      </c>
    </row>
    <row r="130" ht="16.5" spans="1:4">
      <c r="A130" s="101" t="s">
        <v>35</v>
      </c>
      <c r="B130" s="102" t="s">
        <v>134</v>
      </c>
      <c r="C130" s="141">
        <v>0.0557</v>
      </c>
      <c r="D130" s="203">
        <f>TRUNC((D146+D129)*C130,2)</f>
        <v>238.11</v>
      </c>
    </row>
    <row r="131" ht="16.5" spans="1:4">
      <c r="A131" s="101" t="s">
        <v>37</v>
      </c>
      <c r="B131" s="102" t="s">
        <v>135</v>
      </c>
      <c r="C131" s="141">
        <f>SUM(C132:C134)</f>
        <v>0.0865</v>
      </c>
      <c r="D131" s="147">
        <f>D132+D133+D134</f>
        <v>427.34</v>
      </c>
    </row>
    <row r="132" ht="16.5" spans="1:4">
      <c r="A132" s="101"/>
      <c r="B132" s="102" t="s">
        <v>136</v>
      </c>
      <c r="C132" s="141">
        <v>0.0065</v>
      </c>
      <c r="D132" s="147">
        <f>ROUND(($D$146+$D$129+$D$130)/(1-$C$131)*C132,2)</f>
        <v>32.11</v>
      </c>
    </row>
    <row r="133" ht="16.5" spans="1:4">
      <c r="A133" s="101"/>
      <c r="B133" s="102" t="s">
        <v>137</v>
      </c>
      <c r="C133" s="141">
        <v>0.03</v>
      </c>
      <c r="D133" s="147">
        <f>ROUND(($D$146+$D$129+$D$130)/(1-$C$131)*C133,2)</f>
        <v>148.21</v>
      </c>
    </row>
    <row r="134" ht="16.5" spans="1:4">
      <c r="A134" s="101"/>
      <c r="B134" s="102" t="s">
        <v>138</v>
      </c>
      <c r="C134" s="141">
        <v>0.05</v>
      </c>
      <c r="D134" s="147">
        <f>ROUND(($D$146+$D$129+$D$130)/(1-$C$131)*C134,2)</f>
        <v>247.02</v>
      </c>
    </row>
    <row r="135" ht="16.5" spans="1:4">
      <c r="A135" s="132" t="s">
        <v>83</v>
      </c>
      <c r="B135" s="128"/>
      <c r="C135" s="147"/>
      <c r="D135" s="147">
        <f>D129+D130+D131</f>
        <v>789.96</v>
      </c>
    </row>
    <row r="138" spans="1:4">
      <c r="A138" s="136" t="s">
        <v>139</v>
      </c>
      <c r="B138" s="136"/>
      <c r="C138" s="136"/>
      <c r="D138" s="136"/>
    </row>
    <row r="140" ht="16.5" spans="1:4">
      <c r="A140" s="127"/>
      <c r="B140" s="128" t="s">
        <v>140</v>
      </c>
      <c r="C140" s="128" t="s">
        <v>53</v>
      </c>
      <c r="D140" s="128" t="s">
        <v>6</v>
      </c>
    </row>
    <row r="141" ht="16.5" spans="1:4">
      <c r="A141" s="186" t="s">
        <v>32</v>
      </c>
      <c r="B141" s="102" t="s">
        <v>51</v>
      </c>
      <c r="C141" s="102"/>
      <c r="D141" s="150">
        <f>D29</f>
        <v>1832.25</v>
      </c>
    </row>
    <row r="142" ht="16.5" spans="1:4">
      <c r="A142" s="186" t="s">
        <v>35</v>
      </c>
      <c r="B142" s="102" t="s">
        <v>64</v>
      </c>
      <c r="C142" s="102"/>
      <c r="D142" s="150">
        <f>D73</f>
        <v>1712.2865</v>
      </c>
    </row>
    <row r="143" ht="16.5" spans="1:4">
      <c r="A143" s="186" t="s">
        <v>37</v>
      </c>
      <c r="B143" s="102" t="s">
        <v>105</v>
      </c>
      <c r="C143" s="102"/>
      <c r="D143" s="150">
        <f>D85</f>
        <v>76.433941771088</v>
      </c>
    </row>
    <row r="144" ht="16.5" spans="1:4">
      <c r="A144" s="186" t="s">
        <v>57</v>
      </c>
      <c r="B144" s="102" t="s">
        <v>113</v>
      </c>
      <c r="C144" s="102"/>
      <c r="D144" s="150">
        <f>D115+D101</f>
        <v>379.42890165389</v>
      </c>
    </row>
    <row r="145" ht="16.5" spans="1:4">
      <c r="A145" s="186" t="s">
        <v>59</v>
      </c>
      <c r="B145" s="102" t="s">
        <v>127</v>
      </c>
      <c r="C145" s="102"/>
      <c r="D145" s="150">
        <f>D123</f>
        <v>150.07</v>
      </c>
    </row>
    <row r="146" ht="16.5" spans="1:4">
      <c r="A146" s="132" t="s">
        <v>141</v>
      </c>
      <c r="B146" s="128"/>
      <c r="C146" s="102"/>
      <c r="D146" s="150">
        <f>SUM(D141:D145)</f>
        <v>4150.46934342498</v>
      </c>
    </row>
    <row r="147" ht="16.5" spans="1:4">
      <c r="A147" s="186" t="s">
        <v>78</v>
      </c>
      <c r="B147" s="102" t="s">
        <v>142</v>
      </c>
      <c r="C147" s="102"/>
      <c r="D147" s="150">
        <f>D135</f>
        <v>789.96</v>
      </c>
    </row>
    <row r="148" ht="16.5" spans="1:4">
      <c r="A148" s="132" t="s">
        <v>143</v>
      </c>
      <c r="B148" s="128"/>
      <c r="C148" s="102"/>
      <c r="D148" s="204">
        <f>D146+D147</f>
        <v>4940.42934342498</v>
      </c>
    </row>
    <row r="149" spans="1:4">
      <c r="A149" s="189"/>
      <c r="B149" s="189"/>
      <c r="C149" s="190"/>
      <c r="D149" s="191"/>
    </row>
  </sheetData>
  <mergeCells count="43">
    <mergeCell ref="A2:D2"/>
    <mergeCell ref="A3:D3"/>
    <mergeCell ref="A4:D4"/>
    <mergeCell ref="C7:D7"/>
    <mergeCell ref="C8:D8"/>
    <mergeCell ref="C9:D9"/>
    <mergeCell ref="A11:D11"/>
    <mergeCell ref="A12:B12"/>
    <mergeCell ref="A16:B16"/>
    <mergeCell ref="C16:D16"/>
    <mergeCell ref="A18:D18"/>
    <mergeCell ref="A20:D20"/>
    <mergeCell ref="A29:B29"/>
    <mergeCell ref="A32:D32"/>
    <mergeCell ref="A34:D34"/>
    <mergeCell ref="A39:B39"/>
    <mergeCell ref="A42:D42"/>
    <mergeCell ref="A53:B53"/>
    <mergeCell ref="A56:D56"/>
    <mergeCell ref="H57:M57"/>
    <mergeCell ref="A64:B64"/>
    <mergeCell ref="A67:D67"/>
    <mergeCell ref="B69:C69"/>
    <mergeCell ref="B70:C70"/>
    <mergeCell ref="B71:C71"/>
    <mergeCell ref="B72:C72"/>
    <mergeCell ref="A73:C73"/>
    <mergeCell ref="A76:D76"/>
    <mergeCell ref="A85:B85"/>
    <mergeCell ref="A88:D88"/>
    <mergeCell ref="A91:D91"/>
    <mergeCell ref="A100:B100"/>
    <mergeCell ref="A103:D103"/>
    <mergeCell ref="A107:B107"/>
    <mergeCell ref="A110:D110"/>
    <mergeCell ref="A115:B115"/>
    <mergeCell ref="A118:D118"/>
    <mergeCell ref="A123:B123"/>
    <mergeCell ref="A126:D126"/>
    <mergeCell ref="A135:B135"/>
    <mergeCell ref="A138:D138"/>
    <mergeCell ref="A146:B146"/>
    <mergeCell ref="A148:B148"/>
  </mergeCells>
  <pageMargins left="0.511811024" right="0.511811024" top="0.787401575" bottom="0.787401575" header="0.31496062" footer="0.3149606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O146"/>
  <sheetViews>
    <sheetView showGridLines="0" zoomScale="85" zoomScaleNormal="85" topLeftCell="A116" workbookViewId="0">
      <selection activeCell="D148" sqref="D148"/>
    </sheetView>
  </sheetViews>
  <sheetFormatPr defaultColWidth="9.14285714285714" defaultRowHeight="15.75"/>
  <cols>
    <col min="1" max="1" width="9.14285714285714" style="94"/>
    <col min="2" max="2" width="72.5714285714286" style="94" customWidth="1"/>
    <col min="3" max="3" width="18" style="94" customWidth="1"/>
    <col min="4" max="4" width="25" style="94" customWidth="1"/>
    <col min="5" max="6" width="14" style="94" customWidth="1"/>
    <col min="7" max="7" width="12" style="94" customWidth="1"/>
    <col min="8" max="8" width="15.1428571428571" style="94" customWidth="1"/>
    <col min="9" max="12" width="9.14285714285714" style="94"/>
    <col min="13" max="13" width="10.5714285714286" style="94" customWidth="1"/>
    <col min="14" max="14" width="9.14285714285714" style="94"/>
    <col min="15" max="15" width="12.1428571428571" style="94" customWidth="1"/>
    <col min="16" max="16384" width="9.14285714285714" style="94"/>
  </cols>
  <sheetData>
    <row r="1" ht="23.25" spans="1:4">
      <c r="A1" s="95" t="s">
        <v>29</v>
      </c>
      <c r="B1" s="95"/>
      <c r="C1" s="95"/>
      <c r="D1" s="95"/>
    </row>
    <row r="2" ht="23.25" spans="1:4">
      <c r="A2" s="95" t="s">
        <v>30</v>
      </c>
      <c r="B2" s="95"/>
      <c r="C2" s="95"/>
      <c r="D2" s="95"/>
    </row>
    <row r="3" spans="1:4">
      <c r="A3" s="96" t="s">
        <v>31</v>
      </c>
      <c r="B3" s="96"/>
      <c r="C3" s="96"/>
      <c r="D3" s="96"/>
    </row>
    <row r="4" ht="16.5" spans="1:4">
      <c r="A4" s="96"/>
      <c r="B4" s="96"/>
      <c r="C4" s="96"/>
      <c r="D4" s="96"/>
    </row>
    <row r="5" ht="16.5" spans="1:4">
      <c r="A5" s="97" t="s">
        <v>32</v>
      </c>
      <c r="B5" s="98" t="s">
        <v>33</v>
      </c>
      <c r="C5" s="99" t="s">
        <v>34</v>
      </c>
      <c r="D5" s="100"/>
    </row>
    <row r="6" ht="16.5" spans="1:4">
      <c r="A6" s="101" t="s">
        <v>35</v>
      </c>
      <c r="B6" s="102" t="s">
        <v>36</v>
      </c>
      <c r="C6" s="99">
        <v>2025</v>
      </c>
      <c r="D6" s="100"/>
    </row>
    <row r="7" ht="16.5" spans="1:4">
      <c r="A7" s="101" t="s">
        <v>37</v>
      </c>
      <c r="B7" s="103" t="s">
        <v>38</v>
      </c>
      <c r="C7" s="104" t="s">
        <v>39</v>
      </c>
      <c r="D7" s="105"/>
    </row>
    <row r="8" ht="16.5" spans="1:4">
      <c r="A8" s="96"/>
      <c r="B8" s="96"/>
      <c r="C8" s="96"/>
      <c r="D8" s="96"/>
    </row>
    <row r="9" spans="1:4">
      <c r="A9" s="106" t="s">
        <v>40</v>
      </c>
      <c r="B9" s="107"/>
      <c r="C9" s="107"/>
      <c r="D9" s="108"/>
    </row>
    <row r="10" ht="36.95" customHeight="1" spans="1:4">
      <c r="A10" s="109" t="s">
        <v>41</v>
      </c>
      <c r="B10" s="109"/>
      <c r="C10" s="110" t="s">
        <v>42</v>
      </c>
      <c r="D10" s="111" t="s">
        <v>43</v>
      </c>
    </row>
    <row r="11" ht="16.5" spans="1:4">
      <c r="A11" s="112" t="s">
        <v>144</v>
      </c>
      <c r="B11" s="113"/>
      <c r="C11" s="114" t="s">
        <v>145</v>
      </c>
      <c r="D11" s="115">
        <v>1</v>
      </c>
    </row>
    <row r="12" ht="16.5" spans="1:4">
      <c r="A12" s="116" t="s">
        <v>48</v>
      </c>
      <c r="B12" s="117"/>
      <c r="C12" s="118" t="s">
        <v>146</v>
      </c>
      <c r="D12" s="119"/>
    </row>
    <row r="13" ht="16.5" spans="1:4">
      <c r="A13" s="120"/>
      <c r="B13" s="120"/>
      <c r="C13" s="121"/>
      <c r="D13" s="121"/>
    </row>
    <row r="14" ht="42" customHeight="1" spans="1:4">
      <c r="A14" s="116" t="s">
        <v>50</v>
      </c>
      <c r="B14" s="117"/>
      <c r="C14" s="117"/>
      <c r="D14" s="122"/>
    </row>
    <row r="15" ht="15" spans="1:4">
      <c r="A15" s="123"/>
      <c r="B15" s="124"/>
      <c r="C15" s="124"/>
      <c r="D15" s="125"/>
    </row>
    <row r="16" spans="1:4">
      <c r="A16" s="126" t="s">
        <v>51</v>
      </c>
      <c r="B16" s="126"/>
      <c r="C16" s="126"/>
      <c r="D16" s="126"/>
    </row>
    <row r="18" ht="16.5" spans="1:4">
      <c r="A18" s="127">
        <v>1</v>
      </c>
      <c r="B18" s="128" t="s">
        <v>52</v>
      </c>
      <c r="C18" s="128" t="s">
        <v>53</v>
      </c>
      <c r="D18" s="128" t="s">
        <v>6</v>
      </c>
    </row>
    <row r="19" ht="16.5" spans="1:4">
      <c r="A19" s="101" t="s">
        <v>32</v>
      </c>
      <c r="B19" s="102" t="s">
        <v>54</v>
      </c>
      <c r="C19" s="129"/>
      <c r="D19" s="130">
        <v>1829.61</v>
      </c>
    </row>
    <row r="20" ht="16.5" spans="1:4">
      <c r="A20" s="101" t="s">
        <v>35</v>
      </c>
      <c r="B20" s="102" t="s">
        <v>55</v>
      </c>
      <c r="C20" s="129"/>
      <c r="D20" s="130"/>
    </row>
    <row r="21" ht="16.5" spans="1:4">
      <c r="A21" s="101" t="s">
        <v>37</v>
      </c>
      <c r="B21" s="102" t="s">
        <v>56</v>
      </c>
      <c r="C21" s="131">
        <v>0.2</v>
      </c>
      <c r="D21" s="130">
        <f>1518*C21</f>
        <v>303.6</v>
      </c>
    </row>
    <row r="22" ht="16.5" spans="1:4">
      <c r="A22" s="101" t="s">
        <v>57</v>
      </c>
      <c r="B22" s="102" t="s">
        <v>58</v>
      </c>
      <c r="C22" s="129"/>
      <c r="D22" s="130"/>
    </row>
    <row r="23" ht="16.5" spans="1:4">
      <c r="A23" s="101" t="s">
        <v>59</v>
      </c>
      <c r="B23" s="102" t="s">
        <v>60</v>
      </c>
      <c r="C23" s="129"/>
      <c r="D23" s="130"/>
    </row>
    <row r="24" ht="16.5" spans="1:4">
      <c r="A24" s="101" t="s">
        <v>61</v>
      </c>
      <c r="B24" s="102" t="s">
        <v>62</v>
      </c>
      <c r="C24" s="129"/>
      <c r="D24" s="130"/>
    </row>
    <row r="25" ht="16.5" spans="1:4">
      <c r="A25" s="132" t="s">
        <v>63</v>
      </c>
      <c r="B25" s="133"/>
      <c r="C25" s="97"/>
      <c r="D25" s="134">
        <f>SUM(D19:D24)</f>
        <v>2133.21</v>
      </c>
    </row>
    <row r="26" spans="4:4">
      <c r="D26" s="135"/>
    </row>
    <row r="28" spans="1:4">
      <c r="A28" s="136" t="s">
        <v>64</v>
      </c>
      <c r="B28" s="136"/>
      <c r="C28" s="136"/>
      <c r="D28" s="136"/>
    </row>
    <row r="29" spans="1:1">
      <c r="A29" s="137"/>
    </row>
    <row r="30" spans="1:4">
      <c r="A30" s="138" t="s">
        <v>65</v>
      </c>
      <c r="B30" s="138"/>
      <c r="C30" s="138"/>
      <c r="D30" s="138"/>
    </row>
    <row r="32" ht="16.5" spans="1:5">
      <c r="A32" s="127" t="s">
        <v>66</v>
      </c>
      <c r="B32" s="128" t="s">
        <v>67</v>
      </c>
      <c r="C32" s="128" t="s">
        <v>53</v>
      </c>
      <c r="D32" s="128" t="s">
        <v>6</v>
      </c>
      <c r="E32" s="139"/>
    </row>
    <row r="33" ht="16.5" spans="1:6">
      <c r="A33" s="101" t="s">
        <v>32</v>
      </c>
      <c r="B33" s="140" t="s">
        <v>68</v>
      </c>
      <c r="C33" s="141">
        <f>1/12</f>
        <v>0.0833333333333333</v>
      </c>
      <c r="D33" s="142">
        <f>D25*C33</f>
        <v>177.7675</v>
      </c>
      <c r="E33" s="143"/>
      <c r="F33" s="143"/>
    </row>
    <row r="34" ht="16.5" spans="1:6">
      <c r="A34" s="101" t="s">
        <v>35</v>
      </c>
      <c r="B34" s="144" t="s">
        <v>69</v>
      </c>
      <c r="C34" s="141">
        <f>(1+1/3)*(1/12)</f>
        <v>0.111111111111111</v>
      </c>
      <c r="D34" s="142">
        <f>D25*C34</f>
        <v>237.023333333333</v>
      </c>
      <c r="E34" s="143"/>
      <c r="F34" s="143"/>
    </row>
    <row r="35" ht="16.5" spans="1:4">
      <c r="A35" s="145" t="s">
        <v>63</v>
      </c>
      <c r="B35" s="146"/>
      <c r="C35" s="147"/>
      <c r="D35" s="134">
        <f>SUM(D33:D34)</f>
        <v>414.790833333333</v>
      </c>
    </row>
    <row r="38" ht="32.25" customHeight="1" spans="1:4">
      <c r="A38" s="148" t="s">
        <v>70</v>
      </c>
      <c r="B38" s="148"/>
      <c r="C38" s="148"/>
      <c r="D38" s="148"/>
    </row>
    <row r="40" ht="16.5" spans="1:4">
      <c r="A40" s="127" t="s">
        <v>71</v>
      </c>
      <c r="B40" s="128" t="s">
        <v>72</v>
      </c>
      <c r="C40" s="128" t="s">
        <v>53</v>
      </c>
      <c r="D40" s="128" t="s">
        <v>6</v>
      </c>
    </row>
    <row r="41" ht="16.5" spans="1:4">
      <c r="A41" s="101" t="s">
        <v>32</v>
      </c>
      <c r="B41" s="102" t="s">
        <v>73</v>
      </c>
      <c r="C41" s="149">
        <v>0.2</v>
      </c>
      <c r="D41" s="150">
        <f t="shared" ref="D41:D48" si="0">($D$35+$D$25)*C41</f>
        <v>509.600166666667</v>
      </c>
    </row>
    <row r="42" ht="16.5" spans="1:4">
      <c r="A42" s="101" t="s">
        <v>35</v>
      </c>
      <c r="B42" s="102" t="s">
        <v>74</v>
      </c>
      <c r="C42" s="149">
        <v>0.025</v>
      </c>
      <c r="D42" s="150">
        <f t="shared" si="0"/>
        <v>63.7000208333333</v>
      </c>
    </row>
    <row r="43" ht="16.5" spans="1:4">
      <c r="A43" s="101" t="s">
        <v>37</v>
      </c>
      <c r="B43" s="102" t="s">
        <v>75</v>
      </c>
      <c r="C43" s="149">
        <v>0.03</v>
      </c>
      <c r="D43" s="150">
        <f t="shared" si="0"/>
        <v>76.440025</v>
      </c>
    </row>
    <row r="44" ht="16.5" spans="1:4">
      <c r="A44" s="101" t="s">
        <v>57</v>
      </c>
      <c r="B44" s="102" t="s">
        <v>76</v>
      </c>
      <c r="C44" s="149">
        <v>0.015</v>
      </c>
      <c r="D44" s="150">
        <f t="shared" si="0"/>
        <v>38.2200125</v>
      </c>
    </row>
    <row r="45" ht="16.5" spans="1:4">
      <c r="A45" s="101" t="s">
        <v>59</v>
      </c>
      <c r="B45" s="102" t="s">
        <v>77</v>
      </c>
      <c r="C45" s="149">
        <v>0.01</v>
      </c>
      <c r="D45" s="150">
        <f t="shared" si="0"/>
        <v>25.4800083333333</v>
      </c>
    </row>
    <row r="46" ht="16.5" spans="1:4">
      <c r="A46" s="101" t="s">
        <v>78</v>
      </c>
      <c r="B46" s="102" t="s">
        <v>79</v>
      </c>
      <c r="C46" s="149">
        <v>0.006</v>
      </c>
      <c r="D46" s="150">
        <f t="shared" si="0"/>
        <v>15.288005</v>
      </c>
    </row>
    <row r="47" ht="16.5" spans="1:4">
      <c r="A47" s="101" t="s">
        <v>61</v>
      </c>
      <c r="B47" s="102" t="s">
        <v>80</v>
      </c>
      <c r="C47" s="149">
        <v>0.002</v>
      </c>
      <c r="D47" s="150">
        <f t="shared" si="0"/>
        <v>5.09600166666667</v>
      </c>
    </row>
    <row r="48" ht="16.5" spans="1:4">
      <c r="A48" s="101" t="s">
        <v>81</v>
      </c>
      <c r="B48" s="102" t="s">
        <v>82</v>
      </c>
      <c r="C48" s="149">
        <v>0.08</v>
      </c>
      <c r="D48" s="150">
        <f t="shared" si="0"/>
        <v>203.840066666667</v>
      </c>
    </row>
    <row r="49" ht="16.5" spans="1:4">
      <c r="A49" s="132" t="s">
        <v>83</v>
      </c>
      <c r="B49" s="128"/>
      <c r="C49" s="141">
        <f>SUM(C41:C48)</f>
        <v>0.368</v>
      </c>
      <c r="D49" s="151">
        <f>SUM(D41:D48)</f>
        <v>937.664306666667</v>
      </c>
    </row>
    <row r="52" spans="1:4">
      <c r="A52" s="138" t="s">
        <v>84</v>
      </c>
      <c r="B52" s="138"/>
      <c r="C52" s="138"/>
      <c r="D52" s="138"/>
    </row>
    <row r="53" ht="16.5" spans="8:15">
      <c r="H53" s="152" t="s">
        <v>85</v>
      </c>
      <c r="I53" s="157"/>
      <c r="J53" s="157"/>
      <c r="K53" s="157"/>
      <c r="L53" s="157"/>
      <c r="M53" s="158"/>
      <c r="N53" s="159"/>
      <c r="O53" s="159"/>
    </row>
    <row r="54" ht="16.5" spans="1:15">
      <c r="A54" s="127" t="s">
        <v>86</v>
      </c>
      <c r="B54" s="128" t="s">
        <v>87</v>
      </c>
      <c r="C54" s="128" t="s">
        <v>53</v>
      </c>
      <c r="D54" s="128" t="s">
        <v>6</v>
      </c>
      <c r="H54" s="153"/>
      <c r="I54" s="160" t="s">
        <v>88</v>
      </c>
      <c r="J54" s="160" t="s">
        <v>89</v>
      </c>
      <c r="K54" s="160" t="s">
        <v>90</v>
      </c>
      <c r="L54" s="160" t="s">
        <v>91</v>
      </c>
      <c r="M54" s="161" t="s">
        <v>92</v>
      </c>
      <c r="N54" s="159"/>
      <c r="O54" s="159"/>
    </row>
    <row r="55" ht="16.5" spans="1:15">
      <c r="A55" s="101" t="s">
        <v>32</v>
      </c>
      <c r="B55" s="140" t="s">
        <v>93</v>
      </c>
      <c r="C55" s="129"/>
      <c r="D55" s="130"/>
      <c r="H55" s="154" t="s">
        <v>94</v>
      </c>
      <c r="I55" s="162"/>
      <c r="J55" s="160"/>
      <c r="K55" s="160"/>
      <c r="L55" s="160">
        <f>I55*J55*K55</f>
        <v>0</v>
      </c>
      <c r="M55" s="163"/>
      <c r="N55" s="159"/>
      <c r="O55" s="159"/>
    </row>
    <row r="56" ht="16.5" spans="1:15">
      <c r="A56" s="101" t="s">
        <v>35</v>
      </c>
      <c r="B56" s="140" t="s">
        <v>95</v>
      </c>
      <c r="C56" s="129"/>
      <c r="D56" s="150">
        <f>15*22</f>
        <v>330</v>
      </c>
      <c r="H56" s="154" t="s">
        <v>96</v>
      </c>
      <c r="I56" s="162">
        <v>15</v>
      </c>
      <c r="J56" s="160">
        <v>1</v>
      </c>
      <c r="K56" s="160">
        <v>22</v>
      </c>
      <c r="L56" s="160">
        <f>I56*J56*K56</f>
        <v>330</v>
      </c>
      <c r="M56" s="164">
        <f>L56</f>
        <v>330</v>
      </c>
      <c r="N56" s="159"/>
      <c r="O56" s="159"/>
    </row>
    <row r="57" ht="16.5" spans="1:15">
      <c r="A57" s="101" t="s">
        <v>57</v>
      </c>
      <c r="B57" s="140" t="s">
        <v>97</v>
      </c>
      <c r="C57" s="129"/>
      <c r="D57" s="150">
        <f>M57</f>
        <v>78.59</v>
      </c>
      <c r="H57" s="155" t="s">
        <v>98</v>
      </c>
      <c r="I57" s="165">
        <v>78.59</v>
      </c>
      <c r="J57" s="165"/>
      <c r="K57" s="165"/>
      <c r="L57" s="165"/>
      <c r="M57" s="166">
        <f>I57</f>
        <v>78.59</v>
      </c>
      <c r="N57" s="159"/>
      <c r="O57" s="167">
        <f>M56+M58</f>
        <v>472.05</v>
      </c>
    </row>
    <row r="58" ht="16.5" spans="1:15">
      <c r="A58" s="101" t="s">
        <v>59</v>
      </c>
      <c r="B58" s="140" t="s">
        <v>99</v>
      </c>
      <c r="C58" s="129"/>
      <c r="D58" s="150"/>
      <c r="H58" s="154" t="s">
        <v>100</v>
      </c>
      <c r="I58" s="165">
        <v>142.05</v>
      </c>
      <c r="J58" s="165"/>
      <c r="K58" s="165"/>
      <c r="L58" s="165"/>
      <c r="M58" s="166">
        <f>I58</f>
        <v>142.05</v>
      </c>
      <c r="N58" s="159"/>
      <c r="O58" s="159"/>
    </row>
    <row r="59" ht="16.5" spans="1:15">
      <c r="A59" s="101" t="s">
        <v>61</v>
      </c>
      <c r="B59" s="140" t="s">
        <v>101</v>
      </c>
      <c r="C59" s="129"/>
      <c r="D59" s="156">
        <f>M58</f>
        <v>142.05</v>
      </c>
      <c r="H59" s="155" t="s">
        <v>102</v>
      </c>
      <c r="I59" s="165">
        <v>0</v>
      </c>
      <c r="J59" s="165"/>
      <c r="K59" s="165"/>
      <c r="L59" s="165"/>
      <c r="M59" s="168">
        <f>I59</f>
        <v>0</v>
      </c>
      <c r="N59" s="159"/>
      <c r="O59" s="159"/>
    </row>
    <row r="60" ht="16.5" spans="1:4">
      <c r="A60" s="132" t="s">
        <v>63</v>
      </c>
      <c r="B60" s="128"/>
      <c r="C60" s="129"/>
      <c r="D60" s="150">
        <f>SUM(D55:D59)</f>
        <v>550.64</v>
      </c>
    </row>
    <row r="63" spans="1:4">
      <c r="A63" s="138" t="s">
        <v>103</v>
      </c>
      <c r="B63" s="138"/>
      <c r="C63" s="138"/>
      <c r="D63" s="138"/>
    </row>
    <row r="65" ht="16.5" spans="1:4">
      <c r="A65" s="127">
        <v>2</v>
      </c>
      <c r="B65" s="132" t="s">
        <v>104</v>
      </c>
      <c r="C65" s="128"/>
      <c r="D65" s="128" t="s">
        <v>6</v>
      </c>
    </row>
    <row r="66" ht="16.5" spans="1:4">
      <c r="A66" s="101" t="s">
        <v>66</v>
      </c>
      <c r="B66" s="169" t="s">
        <v>67</v>
      </c>
      <c r="C66" s="170"/>
      <c r="D66" s="150">
        <f>D35</f>
        <v>414.790833333333</v>
      </c>
    </row>
    <row r="67" ht="16.5" spans="1:4">
      <c r="A67" s="101" t="s">
        <v>71</v>
      </c>
      <c r="B67" s="169" t="s">
        <v>72</v>
      </c>
      <c r="C67" s="170"/>
      <c r="D67" s="150">
        <f>D49</f>
        <v>937.664306666667</v>
      </c>
    </row>
    <row r="68" ht="16.5" spans="1:4">
      <c r="A68" s="101" t="s">
        <v>86</v>
      </c>
      <c r="B68" s="169" t="s">
        <v>87</v>
      </c>
      <c r="C68" s="170"/>
      <c r="D68" s="150">
        <f>D60</f>
        <v>550.64</v>
      </c>
    </row>
    <row r="69" ht="16.5" spans="1:4">
      <c r="A69" s="132" t="s">
        <v>63</v>
      </c>
      <c r="B69" s="133"/>
      <c r="C69" s="128"/>
      <c r="D69" s="150">
        <f>SUM(D66:D68)</f>
        <v>1903.09514</v>
      </c>
    </row>
    <row r="70" spans="1:1">
      <c r="A70" s="171"/>
    </row>
    <row r="72" spans="1:4">
      <c r="A72" s="136" t="s">
        <v>105</v>
      </c>
      <c r="B72" s="136"/>
      <c r="C72" s="136"/>
      <c r="D72" s="136"/>
    </row>
    <row r="74" ht="16.5" spans="1:5">
      <c r="A74" s="127">
        <v>3</v>
      </c>
      <c r="B74" s="128" t="s">
        <v>106</v>
      </c>
      <c r="C74" s="128" t="s">
        <v>53</v>
      </c>
      <c r="D74" s="128" t="s">
        <v>6</v>
      </c>
      <c r="E74" s="172"/>
    </row>
    <row r="75" ht="16.5" spans="1:7">
      <c r="A75" s="101" t="s">
        <v>32</v>
      </c>
      <c r="B75" s="173" t="s">
        <v>107</v>
      </c>
      <c r="C75" s="174">
        <f>56.24%*5.55%*(1/12)</f>
        <v>0.0026011</v>
      </c>
      <c r="D75" s="150">
        <f t="shared" ref="D75:D80" si="1">C75*($D$25+$D$35)</f>
        <v>6.62760496758333</v>
      </c>
      <c r="E75" s="175"/>
      <c r="F75" s="176"/>
      <c r="G75" s="175"/>
    </row>
    <row r="76" ht="16.5" spans="1:6">
      <c r="A76" s="101" t="s">
        <v>35</v>
      </c>
      <c r="B76" s="173" t="s">
        <v>108</v>
      </c>
      <c r="C76" s="174">
        <f>(0.26%*8%)</f>
        <v>0.000208</v>
      </c>
      <c r="D76" s="150">
        <f t="shared" si="1"/>
        <v>0.529984173333333</v>
      </c>
      <c r="E76" s="175"/>
      <c r="F76" s="143"/>
    </row>
    <row r="77" ht="16.5" spans="1:6">
      <c r="A77" s="101" t="s">
        <v>37</v>
      </c>
      <c r="B77" s="173" t="s">
        <v>109</v>
      </c>
      <c r="C77" s="174">
        <f>56.24%*5.55%*40%*8%</f>
        <v>0.0009988224</v>
      </c>
      <c r="D77" s="150">
        <f t="shared" si="1"/>
        <v>2.545000307552</v>
      </c>
      <c r="E77" s="177"/>
      <c r="F77" s="178"/>
    </row>
    <row r="78" ht="16.5" spans="1:6">
      <c r="A78" s="101" t="s">
        <v>57</v>
      </c>
      <c r="B78" s="173" t="s">
        <v>110</v>
      </c>
      <c r="C78" s="174">
        <f>(56.24%)*94.45%*(7/30)/12</f>
        <v>0.0103286322222222</v>
      </c>
      <c r="D78" s="150">
        <f t="shared" si="1"/>
        <v>26.3173635094157</v>
      </c>
      <c r="E78" s="143"/>
      <c r="F78" s="143"/>
    </row>
    <row r="79" ht="16.5" spans="1:4">
      <c r="A79" s="101" t="s">
        <v>59</v>
      </c>
      <c r="B79" s="173" t="s">
        <v>111</v>
      </c>
      <c r="C79" s="174">
        <f>(1.03%*36.8%)</f>
        <v>0.0037904</v>
      </c>
      <c r="D79" s="150">
        <f t="shared" si="1"/>
        <v>9.65794235866667</v>
      </c>
    </row>
    <row r="80" ht="16.5" spans="1:4">
      <c r="A80" s="101" t="s">
        <v>78</v>
      </c>
      <c r="B80" s="173" t="s">
        <v>112</v>
      </c>
      <c r="C80" s="174">
        <f>56.24%*94.45%*40%*8%</f>
        <v>0.0169979776</v>
      </c>
      <c r="D80" s="150">
        <f t="shared" si="1"/>
        <v>43.3108610897813</v>
      </c>
    </row>
    <row r="81" ht="16.5" spans="1:4">
      <c r="A81" s="132" t="s">
        <v>63</v>
      </c>
      <c r="B81" s="128"/>
      <c r="C81" s="179">
        <f>SUM(C75:C80)</f>
        <v>0.0349249322222222</v>
      </c>
      <c r="D81" s="150">
        <f>SUM(D75:D80)</f>
        <v>88.9887564063324</v>
      </c>
    </row>
    <row r="84" spans="1:4">
      <c r="A84" s="136" t="s">
        <v>113</v>
      </c>
      <c r="B84" s="136"/>
      <c r="C84" s="136"/>
      <c r="D84" s="136"/>
    </row>
    <row r="87" spans="1:4">
      <c r="A87" s="138" t="s">
        <v>114</v>
      </c>
      <c r="B87" s="138"/>
      <c r="C87" s="138"/>
      <c r="D87" s="138"/>
    </row>
    <row r="88" ht="16.5" spans="1:1">
      <c r="A88" s="137"/>
    </row>
    <row r="89" ht="16.5" spans="1:4">
      <c r="A89" s="127" t="s">
        <v>115</v>
      </c>
      <c r="B89" s="128" t="s">
        <v>116</v>
      </c>
      <c r="C89" s="128" t="s">
        <v>53</v>
      </c>
      <c r="D89" s="128" t="s">
        <v>6</v>
      </c>
    </row>
    <row r="90" ht="16.5" spans="1:4">
      <c r="A90" s="97" t="s">
        <v>32</v>
      </c>
      <c r="B90" s="98" t="s">
        <v>117</v>
      </c>
      <c r="C90" s="141">
        <v>0.0833333333333333</v>
      </c>
      <c r="D90" s="150">
        <f>($D$25+$D$69)*C90</f>
        <v>336.358761666667</v>
      </c>
    </row>
    <row r="91" ht="16.5" spans="1:4">
      <c r="A91" s="101" t="s">
        <v>35</v>
      </c>
      <c r="B91" s="102" t="s">
        <v>116</v>
      </c>
      <c r="C91" s="141">
        <f>(8/30)*(1/12)</f>
        <v>0.0222222222222222</v>
      </c>
      <c r="D91" s="150">
        <f>($D$25+$D$69)*C91</f>
        <v>89.6956697777778</v>
      </c>
    </row>
    <row r="92" ht="16.5" spans="1:4">
      <c r="A92" s="180" t="s">
        <v>37</v>
      </c>
      <c r="B92" s="181" t="s">
        <v>118</v>
      </c>
      <c r="C92" s="141">
        <f>(20/30)/12*1.416%*45.22%</f>
        <v>0.000355730666666667</v>
      </c>
      <c r="D92" s="150">
        <f>($D$25+$D$69)*C92</f>
        <v>1.43583751832229</v>
      </c>
    </row>
    <row r="93" ht="16.5" spans="1:4">
      <c r="A93" s="182" t="s">
        <v>57</v>
      </c>
      <c r="B93" s="183" t="s">
        <v>119</v>
      </c>
      <c r="C93" s="141">
        <f>(15/30)/12*0.44%</f>
        <v>0.000183333333333333</v>
      </c>
      <c r="D93" s="150">
        <f>($D$25+$D$69)*C93</f>
        <v>0.739989275666667</v>
      </c>
    </row>
    <row r="94" ht="16.5" spans="1:4">
      <c r="A94" s="101" t="s">
        <v>59</v>
      </c>
      <c r="B94" s="102" t="s">
        <v>120</v>
      </c>
      <c r="C94" s="141">
        <f>(120/30)/12*1.416%*54.78%*36.8%</f>
        <v>0.000951506688</v>
      </c>
      <c r="D94" s="150">
        <f>($D$25+$D$69)*C94</f>
        <v>3.84057133551878</v>
      </c>
    </row>
    <row r="95" ht="16.5" spans="1:4">
      <c r="A95" s="101" t="s">
        <v>78</v>
      </c>
      <c r="B95" s="102" t="s">
        <v>62</v>
      </c>
      <c r="C95" s="141"/>
      <c r="D95" s="150"/>
    </row>
    <row r="96" ht="16.5" spans="1:4">
      <c r="A96" s="132" t="s">
        <v>83</v>
      </c>
      <c r="B96" s="128"/>
      <c r="C96" s="141">
        <f>SUM(C89:C95)</f>
        <v>0.107046126243556</v>
      </c>
      <c r="D96" s="150">
        <f>SUM(D90:D95)</f>
        <v>432.070829573952</v>
      </c>
    </row>
    <row r="99" spans="1:4">
      <c r="A99" s="138" t="s">
        <v>121</v>
      </c>
      <c r="B99" s="138"/>
      <c r="C99" s="138"/>
      <c r="D99" s="138"/>
    </row>
    <row r="100" ht="16.5" spans="1:1">
      <c r="A100" s="137"/>
    </row>
    <row r="101" ht="16.5" spans="1:4">
      <c r="A101" s="127" t="s">
        <v>122</v>
      </c>
      <c r="B101" s="128" t="s">
        <v>123</v>
      </c>
      <c r="C101" s="128" t="s">
        <v>53</v>
      </c>
      <c r="D101" s="128" t="s">
        <v>6</v>
      </c>
    </row>
    <row r="102" ht="16.5" spans="1:4">
      <c r="A102" s="101" t="s">
        <v>32</v>
      </c>
      <c r="B102" s="102" t="s">
        <v>124</v>
      </c>
      <c r="C102" s="184"/>
      <c r="D102" s="150"/>
    </row>
    <row r="103" ht="16.5" spans="1:4">
      <c r="A103" s="132" t="s">
        <v>63</v>
      </c>
      <c r="B103" s="128"/>
      <c r="C103" s="129"/>
      <c r="D103" s="150"/>
    </row>
    <row r="106" spans="1:4">
      <c r="A106" s="138" t="s">
        <v>125</v>
      </c>
      <c r="B106" s="138"/>
      <c r="C106" s="138"/>
      <c r="D106" s="138"/>
    </row>
    <row r="107" ht="16.5" spans="1:1">
      <c r="A107" s="137"/>
    </row>
    <row r="108" ht="16.5" spans="1:4">
      <c r="A108" s="127">
        <v>4</v>
      </c>
      <c r="B108" s="128" t="s">
        <v>126</v>
      </c>
      <c r="C108" s="128" t="s">
        <v>53</v>
      </c>
      <c r="D108" s="128" t="s">
        <v>6</v>
      </c>
    </row>
    <row r="109" ht="16.5" spans="1:4">
      <c r="A109" s="101" t="s">
        <v>115</v>
      </c>
      <c r="B109" s="102" t="s">
        <v>116</v>
      </c>
      <c r="C109" s="129"/>
      <c r="D109" s="150">
        <f>D96</f>
        <v>432.070829573952</v>
      </c>
    </row>
    <row r="110" ht="16.5" spans="1:4">
      <c r="A110" s="101" t="s">
        <v>122</v>
      </c>
      <c r="B110" s="102" t="s">
        <v>123</v>
      </c>
      <c r="C110" s="129"/>
      <c r="D110" s="150"/>
    </row>
    <row r="111" ht="16.5" spans="1:4">
      <c r="A111" s="132" t="s">
        <v>63</v>
      </c>
      <c r="B111" s="128"/>
      <c r="C111" s="129"/>
      <c r="D111" s="150">
        <f>SUM(D109:D110)</f>
        <v>432.070829573952</v>
      </c>
    </row>
    <row r="114" spans="1:4">
      <c r="A114" s="136" t="s">
        <v>127</v>
      </c>
      <c r="B114" s="136"/>
      <c r="C114" s="136"/>
      <c r="D114" s="136"/>
    </row>
    <row r="116" ht="16.5" spans="1:4">
      <c r="A116" s="127">
        <v>5</v>
      </c>
      <c r="B116" s="185" t="s">
        <v>128</v>
      </c>
      <c r="C116" s="128" t="s">
        <v>53</v>
      </c>
      <c r="D116" s="128" t="s">
        <v>6</v>
      </c>
    </row>
    <row r="117" ht="16.5" spans="1:4">
      <c r="A117" s="101" t="s">
        <v>32</v>
      </c>
      <c r="B117" s="140" t="s">
        <v>129</v>
      </c>
      <c r="C117" s="129"/>
      <c r="D117" s="150">
        <f>25.53</f>
        <v>25.53</v>
      </c>
    </row>
    <row r="118" ht="16.5" spans="1:4">
      <c r="A118" s="101" t="s">
        <v>35</v>
      </c>
      <c r="B118" s="140" t="s">
        <v>130</v>
      </c>
      <c r="C118" s="129"/>
      <c r="D118" s="150"/>
    </row>
    <row r="119" ht="16.5" spans="1:4">
      <c r="A119" s="132" t="s">
        <v>83</v>
      </c>
      <c r="B119" s="128"/>
      <c r="C119" s="129"/>
      <c r="D119" s="150">
        <f>SUM(D117:D118)</f>
        <v>25.53</v>
      </c>
    </row>
    <row r="122" spans="1:4">
      <c r="A122" s="136" t="s">
        <v>131</v>
      </c>
      <c r="B122" s="136"/>
      <c r="C122" s="136"/>
      <c r="D122" s="136"/>
    </row>
    <row r="124" ht="16.5" spans="1:4">
      <c r="A124" s="127">
        <v>6</v>
      </c>
      <c r="B124" s="185" t="s">
        <v>132</v>
      </c>
      <c r="C124" s="128" t="s">
        <v>53</v>
      </c>
      <c r="D124" s="128" t="s">
        <v>6</v>
      </c>
    </row>
    <row r="125" ht="16.5" spans="1:4">
      <c r="A125" s="101" t="s">
        <v>32</v>
      </c>
      <c r="B125" s="102" t="s">
        <v>133</v>
      </c>
      <c r="C125" s="141">
        <v>0.03</v>
      </c>
      <c r="D125" s="130">
        <f>TRUNC(C125*D142,2)</f>
        <v>137.48</v>
      </c>
    </row>
    <row r="126" ht="16.5" spans="1:4">
      <c r="A126" s="101" t="s">
        <v>35</v>
      </c>
      <c r="B126" s="102" t="s">
        <v>134</v>
      </c>
      <c r="C126" s="141">
        <v>0.0557</v>
      </c>
      <c r="D126" s="130">
        <f>TRUNC((D142+D125)*C126,2)</f>
        <v>262.92</v>
      </c>
    </row>
    <row r="127" ht="16.5" spans="1:4">
      <c r="A127" s="101" t="s">
        <v>37</v>
      </c>
      <c r="B127" s="102" t="s">
        <v>135</v>
      </c>
      <c r="C127" s="141">
        <f>SUM(C128:C130)</f>
        <v>0.0865</v>
      </c>
      <c r="D127" s="130">
        <f>D128+D129+D130</f>
        <v>471.87</v>
      </c>
    </row>
    <row r="128" ht="16.5" spans="1:4">
      <c r="A128" s="101"/>
      <c r="B128" s="102" t="s">
        <v>136</v>
      </c>
      <c r="C128" s="141">
        <v>0.0065</v>
      </c>
      <c r="D128" s="130">
        <f>ROUND(($D$142+$D$125+$D$126)/(1-$C$127)*C128,2)</f>
        <v>35.46</v>
      </c>
    </row>
    <row r="129" ht="16.5" spans="1:4">
      <c r="A129" s="101"/>
      <c r="B129" s="102" t="s">
        <v>137</v>
      </c>
      <c r="C129" s="141">
        <v>0.03</v>
      </c>
      <c r="D129" s="130">
        <f>ROUND(($D$142+$D$125+$D$126)/(1-$C$127)*C129,2)</f>
        <v>163.65</v>
      </c>
    </row>
    <row r="130" ht="16.5" spans="1:4">
      <c r="A130" s="101"/>
      <c r="B130" s="102" t="s">
        <v>138</v>
      </c>
      <c r="C130" s="141">
        <v>0.05</v>
      </c>
      <c r="D130" s="130">
        <f>ROUND(($D$142+$D$125+$D$126)/(1-$C$127)*C130,2)</f>
        <v>272.76</v>
      </c>
    </row>
    <row r="131" ht="16.5" spans="1:4">
      <c r="A131" s="132" t="s">
        <v>83</v>
      </c>
      <c r="B131" s="128"/>
      <c r="C131" s="147"/>
      <c r="D131" s="130">
        <f>D125+D126+D127</f>
        <v>872.27</v>
      </c>
    </row>
    <row r="134" spans="1:4">
      <c r="A134" s="136" t="s">
        <v>139</v>
      </c>
      <c r="B134" s="136"/>
      <c r="C134" s="136"/>
      <c r="D134" s="136"/>
    </row>
    <row r="136" ht="16.5" spans="1:4">
      <c r="A136" s="127"/>
      <c r="B136" s="128" t="s">
        <v>140</v>
      </c>
      <c r="C136" s="128" t="s">
        <v>53</v>
      </c>
      <c r="D136" s="128" t="s">
        <v>6</v>
      </c>
    </row>
    <row r="137" ht="16.5" spans="1:4">
      <c r="A137" s="186" t="s">
        <v>32</v>
      </c>
      <c r="B137" s="102" t="s">
        <v>51</v>
      </c>
      <c r="C137" s="102"/>
      <c r="D137" s="187">
        <f>D25</f>
        <v>2133.21</v>
      </c>
    </row>
    <row r="138" ht="16.5" spans="1:4">
      <c r="A138" s="186" t="s">
        <v>35</v>
      </c>
      <c r="B138" s="102" t="s">
        <v>64</v>
      </c>
      <c r="C138" s="102"/>
      <c r="D138" s="150">
        <f>D69</f>
        <v>1903.09514</v>
      </c>
    </row>
    <row r="139" ht="16.5" spans="1:4">
      <c r="A139" s="186" t="s">
        <v>37</v>
      </c>
      <c r="B139" s="102" t="s">
        <v>105</v>
      </c>
      <c r="C139" s="102"/>
      <c r="D139" s="187">
        <f>D81</f>
        <v>88.9887564063324</v>
      </c>
    </row>
    <row r="140" ht="16.5" spans="1:4">
      <c r="A140" s="186" t="s">
        <v>57</v>
      </c>
      <c r="B140" s="102" t="s">
        <v>113</v>
      </c>
      <c r="C140" s="102"/>
      <c r="D140" s="187">
        <f>D111+D97</f>
        <v>432.070829573952</v>
      </c>
    </row>
    <row r="141" ht="16.5" spans="1:4">
      <c r="A141" s="186" t="s">
        <v>59</v>
      </c>
      <c r="B141" s="102" t="s">
        <v>127</v>
      </c>
      <c r="C141" s="102"/>
      <c r="D141" s="187">
        <f>D119</f>
        <v>25.53</v>
      </c>
    </row>
    <row r="142" ht="16.5" spans="1:4">
      <c r="A142" s="132" t="s">
        <v>141</v>
      </c>
      <c r="B142" s="128"/>
      <c r="C142" s="102"/>
      <c r="D142" s="187">
        <f>SUM(D137:D141)</f>
        <v>4582.89472598028</v>
      </c>
    </row>
    <row r="143" ht="16.5" spans="1:4">
      <c r="A143" s="186" t="s">
        <v>78</v>
      </c>
      <c r="B143" s="102" t="s">
        <v>142</v>
      </c>
      <c r="C143" s="102"/>
      <c r="D143" s="187">
        <f>D131</f>
        <v>872.27</v>
      </c>
    </row>
    <row r="144" ht="16.5" spans="1:4">
      <c r="A144" s="132" t="s">
        <v>143</v>
      </c>
      <c r="B144" s="128"/>
      <c r="C144" s="102"/>
      <c r="D144" s="188">
        <f>D142+D143</f>
        <v>5455.16472598028</v>
      </c>
    </row>
    <row r="145" ht="16.5" spans="1:4">
      <c r="A145" s="189"/>
      <c r="B145" s="189"/>
      <c r="C145" s="190"/>
      <c r="D145" s="191"/>
    </row>
    <row r="146" ht="16.5" spans="1:4">
      <c r="A146" s="192" t="s">
        <v>147</v>
      </c>
      <c r="B146" s="193"/>
      <c r="C146" s="194">
        <f>'CALCULO DAS AREAS'!C38</f>
        <v>1</v>
      </c>
      <c r="D146" s="195">
        <f>D144*C146</f>
        <v>5455.16472598028</v>
      </c>
    </row>
  </sheetData>
  <mergeCells count="44">
    <mergeCell ref="A1:D1"/>
    <mergeCell ref="A2:D2"/>
    <mergeCell ref="A3:D3"/>
    <mergeCell ref="C5:D5"/>
    <mergeCell ref="C6:D6"/>
    <mergeCell ref="C7:D7"/>
    <mergeCell ref="A9:D9"/>
    <mergeCell ref="A10:B10"/>
    <mergeCell ref="A12:B12"/>
    <mergeCell ref="C12:D12"/>
    <mergeCell ref="A14:D14"/>
    <mergeCell ref="A16:D16"/>
    <mergeCell ref="A25:B25"/>
    <mergeCell ref="A28:D28"/>
    <mergeCell ref="A30:D30"/>
    <mergeCell ref="A35:B35"/>
    <mergeCell ref="A38:D38"/>
    <mergeCell ref="A49:B49"/>
    <mergeCell ref="A52:D52"/>
    <mergeCell ref="H53:M53"/>
    <mergeCell ref="A60:B60"/>
    <mergeCell ref="A63:D63"/>
    <mergeCell ref="B65:C65"/>
    <mergeCell ref="B66:C66"/>
    <mergeCell ref="B67:C67"/>
    <mergeCell ref="B68:C68"/>
    <mergeCell ref="A69:C69"/>
    <mergeCell ref="A72:D72"/>
    <mergeCell ref="A81:B81"/>
    <mergeCell ref="A84:D84"/>
    <mergeCell ref="A87:D87"/>
    <mergeCell ref="A96:B96"/>
    <mergeCell ref="A99:D99"/>
    <mergeCell ref="A103:B103"/>
    <mergeCell ref="A106:D106"/>
    <mergeCell ref="A111:B111"/>
    <mergeCell ref="A114:D114"/>
    <mergeCell ref="A119:B119"/>
    <mergeCell ref="A122:D122"/>
    <mergeCell ref="A131:B131"/>
    <mergeCell ref="A134:D134"/>
    <mergeCell ref="A142:B142"/>
    <mergeCell ref="A144:B144"/>
    <mergeCell ref="A146:B146"/>
  </mergeCells>
  <pageMargins left="0.511811024" right="0.511811024" top="0.787401575" bottom="0.787401575" header="0.31496062" footer="0.31496062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L43"/>
  <sheetViews>
    <sheetView tabSelected="1" topLeftCell="A23" workbookViewId="0">
      <selection activeCell="K15" sqref="K15"/>
    </sheetView>
  </sheetViews>
  <sheetFormatPr defaultColWidth="9.14285714285714" defaultRowHeight="15"/>
  <cols>
    <col min="1" max="1" width="27.1428571428571" customWidth="1"/>
    <col min="2" max="2" width="15.5714285714286" customWidth="1"/>
    <col min="3" max="3" width="21.4285714285714" customWidth="1"/>
    <col min="4" max="4" width="20.4285714285714" customWidth="1"/>
    <col min="5" max="5" width="13" customWidth="1"/>
    <col min="6" max="6" width="15.4285714285714" customWidth="1"/>
    <col min="7" max="7" width="15.7142857142857" customWidth="1"/>
  </cols>
  <sheetData>
    <row r="1" spans="1:4">
      <c r="A1" s="47" t="s">
        <v>148</v>
      </c>
      <c r="B1" s="47"/>
      <c r="C1" s="47"/>
      <c r="D1" s="47"/>
    </row>
    <row r="2" spans="1:4">
      <c r="A2" s="48" t="s">
        <v>149</v>
      </c>
      <c r="B2" s="49"/>
      <c r="C2" s="49"/>
      <c r="D2" s="50"/>
    </row>
    <row r="3" ht="45" spans="1:4">
      <c r="A3" s="51" t="s">
        <v>150</v>
      </c>
      <c r="B3" s="52" t="s">
        <v>151</v>
      </c>
      <c r="C3" s="52" t="s">
        <v>152</v>
      </c>
      <c r="D3" s="53" t="s">
        <v>153</v>
      </c>
    </row>
    <row r="4" spans="1:12">
      <c r="A4" s="54" t="s">
        <v>49</v>
      </c>
      <c r="B4" s="55" t="s">
        <v>154</v>
      </c>
      <c r="C4" s="56">
        <f>SERVENTE!D148</f>
        <v>4940.42934342498</v>
      </c>
      <c r="D4" s="57">
        <f>1/(955)*C4</f>
        <v>5.17322444337694</v>
      </c>
      <c r="F4" s="58"/>
      <c r="G4" s="59"/>
      <c r="I4" s="88" t="s">
        <v>155</v>
      </c>
      <c r="J4" s="89"/>
      <c r="K4" s="89"/>
      <c r="L4" s="90">
        <f>'CALCULO DAS AREAS'!C32</f>
        <v>955</v>
      </c>
    </row>
    <row r="5" spans="1:12">
      <c r="A5" s="54" t="s">
        <v>146</v>
      </c>
      <c r="B5" s="60" t="s">
        <v>156</v>
      </c>
      <c r="C5" s="56">
        <f>ENCARREGADO!D144</f>
        <v>5455.16472598028</v>
      </c>
      <c r="D5" s="57">
        <f>(1/(10*955)*C5)</f>
        <v>0.571221437275423</v>
      </c>
      <c r="I5" s="88" t="s">
        <v>157</v>
      </c>
      <c r="J5" s="89"/>
      <c r="K5" s="89"/>
      <c r="L5" s="90">
        <f>'CALCULO DAS AREAS'!C33</f>
        <v>34767</v>
      </c>
    </row>
    <row r="6" spans="9:12">
      <c r="I6" s="91" t="s">
        <v>158</v>
      </c>
      <c r="J6" s="92"/>
      <c r="K6" s="92"/>
      <c r="L6" s="93">
        <v>300</v>
      </c>
    </row>
    <row r="7" spans="1:4">
      <c r="A7" s="47" t="s">
        <v>159</v>
      </c>
      <c r="B7" s="47"/>
      <c r="C7" s="47"/>
      <c r="D7" s="61">
        <f>SUM(D4:D5)</f>
        <v>5.74444588065236</v>
      </c>
    </row>
    <row r="11" spans="1:4">
      <c r="A11" s="47" t="s">
        <v>148</v>
      </c>
      <c r="B11" s="47"/>
      <c r="C11" s="47"/>
      <c r="D11" s="47"/>
    </row>
    <row r="12" spans="1:4">
      <c r="A12" s="62" t="s">
        <v>160</v>
      </c>
      <c r="B12" s="62"/>
      <c r="C12" s="62"/>
      <c r="D12" s="62"/>
    </row>
    <row r="13" ht="45" spans="1:4">
      <c r="A13" s="51" t="s">
        <v>150</v>
      </c>
      <c r="B13" s="52" t="s">
        <v>151</v>
      </c>
      <c r="C13" s="52" t="s">
        <v>152</v>
      </c>
      <c r="D13" s="53" t="s">
        <v>153</v>
      </c>
    </row>
    <row r="14" spans="1:7">
      <c r="A14" s="63" t="s">
        <v>49</v>
      </c>
      <c r="B14" s="64" t="s">
        <v>161</v>
      </c>
      <c r="C14" s="56">
        <f>C4</f>
        <v>4940.42934342498</v>
      </c>
      <c r="D14" s="57">
        <f>1/(34767)*C14</f>
        <v>0.142101111497253</v>
      </c>
      <c r="G14" s="59"/>
    </row>
    <row r="15" spans="1:4">
      <c r="A15" s="63" t="s">
        <v>146</v>
      </c>
      <c r="B15" s="65" t="s">
        <v>162</v>
      </c>
      <c r="C15" s="56">
        <f>C5</f>
        <v>5455.16472598028</v>
      </c>
      <c r="D15" s="57">
        <f>1/(34767*10)*C15</f>
        <v>0.0156906397617864</v>
      </c>
    </row>
    <row r="17" spans="1:4">
      <c r="A17" s="47" t="s">
        <v>163</v>
      </c>
      <c r="B17" s="47"/>
      <c r="C17" s="47"/>
      <c r="D17" s="66">
        <f>SUM(D14:D15)</f>
        <v>0.157791751259039</v>
      </c>
    </row>
    <row r="21" spans="1:7">
      <c r="A21" s="47" t="s">
        <v>148</v>
      </c>
      <c r="B21" s="47"/>
      <c r="C21" s="47"/>
      <c r="D21" s="47"/>
      <c r="E21" s="47"/>
      <c r="F21" s="47"/>
      <c r="G21" s="47"/>
    </row>
    <row r="22" spans="1:7">
      <c r="A22" s="47" t="s">
        <v>164</v>
      </c>
      <c r="B22" s="47"/>
      <c r="C22" s="47"/>
      <c r="D22" s="47"/>
      <c r="E22" s="47"/>
      <c r="F22" s="47"/>
      <c r="G22" s="47"/>
    </row>
    <row r="23" ht="87.75" customHeight="1" spans="1:7">
      <c r="A23" s="67" t="s">
        <v>150</v>
      </c>
      <c r="B23" s="68" t="s">
        <v>165</v>
      </c>
      <c r="C23" s="68" t="s">
        <v>166</v>
      </c>
      <c r="D23" s="68" t="s">
        <v>167</v>
      </c>
      <c r="E23" s="68" t="s">
        <v>168</v>
      </c>
      <c r="F23" s="68" t="s">
        <v>169</v>
      </c>
      <c r="G23" s="68" t="s">
        <v>170</v>
      </c>
    </row>
    <row r="24" spans="1:7">
      <c r="A24" s="54" t="s">
        <v>49</v>
      </c>
      <c r="B24" s="69" t="s">
        <v>171</v>
      </c>
      <c r="C24" s="70">
        <v>16</v>
      </c>
      <c r="D24" s="71">
        <f>1/((30/7)*44)</f>
        <v>0.0053030303030303</v>
      </c>
      <c r="E24" s="72">
        <f>1/300*C24*D24</f>
        <v>0.000282828282828283</v>
      </c>
      <c r="F24" s="56">
        <f>C14</f>
        <v>4940.42934342498</v>
      </c>
      <c r="G24" s="73">
        <f>F24*E24</f>
        <v>1.39729314763535</v>
      </c>
    </row>
    <row r="25" spans="1:7">
      <c r="A25" s="54" t="s">
        <v>146</v>
      </c>
      <c r="B25" s="74" t="s">
        <v>172</v>
      </c>
      <c r="C25" s="75">
        <v>16</v>
      </c>
      <c r="D25" s="71">
        <f>1/((30/7)*44)</f>
        <v>0.0053030303030303</v>
      </c>
      <c r="E25" s="72">
        <f>1/(10*300)*C25*D25</f>
        <v>2.82828282828283e-5</v>
      </c>
      <c r="F25" s="56">
        <f>C15</f>
        <v>5455.16472598028</v>
      </c>
      <c r="G25" s="73">
        <f>E25*F25</f>
        <v>0.154287487199442</v>
      </c>
    </row>
    <row r="27" spans="1:7">
      <c r="A27" s="47" t="s">
        <v>173</v>
      </c>
      <c r="B27" s="47"/>
      <c r="C27" s="47"/>
      <c r="D27" s="47"/>
      <c r="E27" s="47"/>
      <c r="F27" s="47"/>
      <c r="G27" s="76">
        <f>G24+G25</f>
        <v>1.55158063483479</v>
      </c>
    </row>
    <row r="32" spans="1:4">
      <c r="A32" s="47" t="s">
        <v>174</v>
      </c>
      <c r="B32" s="47"/>
      <c r="C32" s="47"/>
      <c r="D32" s="47"/>
    </row>
    <row r="33" spans="1:4">
      <c r="A33" s="47"/>
      <c r="B33" s="47"/>
      <c r="C33" s="47"/>
      <c r="D33" s="47"/>
    </row>
    <row r="34" ht="60" spans="1:4">
      <c r="A34" s="51" t="s">
        <v>175</v>
      </c>
      <c r="B34" s="52" t="s">
        <v>176</v>
      </c>
      <c r="C34" s="52" t="s">
        <v>177</v>
      </c>
      <c r="D34" s="53" t="s">
        <v>178</v>
      </c>
    </row>
    <row r="35" spans="1:4">
      <c r="A35" s="77" t="s">
        <v>179</v>
      </c>
      <c r="B35" s="78">
        <f>D7</f>
        <v>5.74444588065236</v>
      </c>
      <c r="C35" s="79">
        <f>'CALCULO DAS AREAS'!C25</f>
        <v>2404.3</v>
      </c>
      <c r="D35" s="80">
        <f>ROUND(B35,6)*C35</f>
        <v>13811.3715178</v>
      </c>
    </row>
    <row r="36" spans="1:4">
      <c r="A36" s="77" t="s">
        <v>180</v>
      </c>
      <c r="B36" s="78">
        <f>D17</f>
        <v>0.157791751259039</v>
      </c>
      <c r="C36" s="79">
        <f>'CALCULO DAS AREAS'!C10</f>
        <v>217761.15</v>
      </c>
      <c r="D36" s="80">
        <f t="shared" ref="D36:D38" si="0">ROUND(B36,6)*C36</f>
        <v>34360.9673808</v>
      </c>
    </row>
    <row r="37" spans="1:4">
      <c r="A37" s="77" t="s">
        <v>181</v>
      </c>
      <c r="B37" s="78">
        <f>G27</f>
        <v>1.55158063483479</v>
      </c>
      <c r="C37" s="79">
        <f>'CALCULO DAS AREAS'!C29</f>
        <v>50.33</v>
      </c>
      <c r="D37" s="80">
        <f t="shared" si="0"/>
        <v>78.09107173</v>
      </c>
    </row>
    <row r="38" spans="1:4">
      <c r="A38" s="77" t="s">
        <v>182</v>
      </c>
      <c r="B38" s="81">
        <v>0</v>
      </c>
      <c r="C38" s="54">
        <v>0</v>
      </c>
      <c r="D38" s="80">
        <f t="shared" si="0"/>
        <v>0</v>
      </c>
    </row>
    <row r="39" spans="1:5">
      <c r="A39" s="47" t="s">
        <v>183</v>
      </c>
      <c r="B39" s="47"/>
      <c r="C39" s="47"/>
      <c r="D39" s="82">
        <f>SUM(D35:D38)</f>
        <v>48250.42997033</v>
      </c>
      <c r="E39" s="83"/>
    </row>
    <row r="41" spans="4:5">
      <c r="D41" s="84" t="e">
        <f>#REF!</f>
        <v>#REF!</v>
      </c>
      <c r="E41" s="85" t="s">
        <v>184</v>
      </c>
    </row>
    <row r="43" ht="15.75" spans="1:3">
      <c r="A43" s="86"/>
      <c r="B43" s="87"/>
      <c r="C43" s="87"/>
    </row>
  </sheetData>
  <mergeCells count="12">
    <mergeCell ref="A1:D1"/>
    <mergeCell ref="A2:D2"/>
    <mergeCell ref="A7:C7"/>
    <mergeCell ref="A11:D11"/>
    <mergeCell ref="A12:D12"/>
    <mergeCell ref="A17:C17"/>
    <mergeCell ref="A21:G21"/>
    <mergeCell ref="A22:G22"/>
    <mergeCell ref="A27:F27"/>
    <mergeCell ref="A32:D32"/>
    <mergeCell ref="A33:D33"/>
    <mergeCell ref="A39:C39"/>
  </mergeCells>
  <pageMargins left="0.75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41"/>
  <sheetViews>
    <sheetView topLeftCell="A12" workbookViewId="0">
      <selection activeCell="L29" sqref="L29"/>
    </sheetView>
  </sheetViews>
  <sheetFormatPr defaultColWidth="9" defaultRowHeight="15"/>
  <cols>
    <col min="2" max="2" width="34.8571428571429" customWidth="1"/>
    <col min="3" max="3" width="11.2857142857143" customWidth="1"/>
    <col min="5" max="5" width="15.5714285714286" customWidth="1"/>
    <col min="6" max="7" width="15.4285714285714" customWidth="1"/>
  </cols>
  <sheetData>
    <row r="1" ht="19.5" spans="2:7">
      <c r="B1" s="1"/>
      <c r="C1" s="1"/>
      <c r="D1" s="1"/>
      <c r="E1" s="1"/>
      <c r="F1" s="1"/>
      <c r="G1" s="1"/>
    </row>
    <row r="2" ht="15.75" spans="2:7">
      <c r="B2" s="2" t="s">
        <v>185</v>
      </c>
      <c r="C2" s="3"/>
      <c r="D2" s="3"/>
      <c r="E2" s="3"/>
      <c r="F2" s="3"/>
      <c r="G2" s="4"/>
    </row>
    <row r="3" ht="15.75" spans="2:7">
      <c r="B3" s="5" t="s">
        <v>186</v>
      </c>
      <c r="C3" s="6" t="s">
        <v>187</v>
      </c>
      <c r="D3" s="6" t="s">
        <v>188</v>
      </c>
      <c r="E3" s="6" t="s">
        <v>189</v>
      </c>
      <c r="F3" s="6" t="s">
        <v>190</v>
      </c>
      <c r="G3" s="7" t="s">
        <v>191</v>
      </c>
    </row>
    <row r="4" ht="15.75" spans="2:7">
      <c r="B4" s="8" t="s">
        <v>192</v>
      </c>
      <c r="C4" s="9">
        <v>76000</v>
      </c>
      <c r="D4" s="10" t="s">
        <v>45</v>
      </c>
      <c r="E4" s="10" t="s">
        <v>193</v>
      </c>
      <c r="F4" s="11">
        <v>100000</v>
      </c>
      <c r="G4" s="12">
        <f t="shared" ref="G4:G9" si="0">C4/F4</f>
        <v>0.76</v>
      </c>
    </row>
    <row r="5" ht="15.75" spans="2:7">
      <c r="B5" s="8" t="s">
        <v>194</v>
      </c>
      <c r="C5" s="9">
        <v>1910</v>
      </c>
      <c r="D5" s="10" t="s">
        <v>45</v>
      </c>
      <c r="E5" s="10" t="s">
        <v>195</v>
      </c>
      <c r="F5" s="11">
        <v>1200</v>
      </c>
      <c r="G5" s="12">
        <f t="shared" si="0"/>
        <v>1.59166666666667</v>
      </c>
    </row>
    <row r="6" ht="15.75" spans="2:7">
      <c r="B6" s="8" t="s">
        <v>196</v>
      </c>
      <c r="C6" s="9">
        <v>124600</v>
      </c>
      <c r="D6" s="10" t="s">
        <v>45</v>
      </c>
      <c r="E6" s="10" t="s">
        <v>197</v>
      </c>
      <c r="F6" s="11">
        <v>100000</v>
      </c>
      <c r="G6" s="12">
        <f t="shared" si="0"/>
        <v>1.246</v>
      </c>
    </row>
    <row r="7" ht="15.75" spans="2:7">
      <c r="B7" s="8" t="s">
        <v>198</v>
      </c>
      <c r="C7" s="9">
        <v>211.15</v>
      </c>
      <c r="D7" s="10" t="s">
        <v>45</v>
      </c>
      <c r="E7" s="10" t="s">
        <v>199</v>
      </c>
      <c r="F7" s="11">
        <v>1200</v>
      </c>
      <c r="G7" s="12">
        <f t="shared" si="0"/>
        <v>0.175958333333333</v>
      </c>
    </row>
    <row r="8" ht="15.75" spans="2:7">
      <c r="B8" s="8" t="s">
        <v>200</v>
      </c>
      <c r="C8" s="9">
        <v>40</v>
      </c>
      <c r="D8" s="10" t="s">
        <v>45</v>
      </c>
      <c r="E8" s="10" t="s">
        <v>195</v>
      </c>
      <c r="F8" s="11">
        <v>1200</v>
      </c>
      <c r="G8" s="12">
        <f t="shared" si="0"/>
        <v>0.0333333333333333</v>
      </c>
    </row>
    <row r="9" ht="15.75" spans="2:7">
      <c r="B9" s="8" t="s">
        <v>201</v>
      </c>
      <c r="C9" s="9">
        <v>15000</v>
      </c>
      <c r="D9" s="10" t="s">
        <v>45</v>
      </c>
      <c r="E9" s="10" t="s">
        <v>195</v>
      </c>
      <c r="F9" s="11">
        <v>5000</v>
      </c>
      <c r="G9" s="12">
        <f t="shared" si="0"/>
        <v>3</v>
      </c>
    </row>
    <row r="10" ht="15.75" spans="2:7">
      <c r="B10" s="8"/>
      <c r="C10" s="9">
        <f>SUM(C4:C9)</f>
        <v>217761.15</v>
      </c>
      <c r="D10" s="10"/>
      <c r="E10" s="10"/>
      <c r="F10" s="11"/>
      <c r="G10" s="13">
        <f>ROUND(SUM(G4:G9),0)</f>
        <v>7</v>
      </c>
    </row>
    <row r="11" spans="2:7">
      <c r="B11" s="14"/>
      <c r="C11" s="15"/>
      <c r="D11" s="15"/>
      <c r="E11" s="15"/>
      <c r="F11" s="16"/>
      <c r="G11" s="17"/>
    </row>
    <row r="12" ht="15.75" spans="2:7">
      <c r="B12" s="18" t="s">
        <v>202</v>
      </c>
      <c r="C12" s="19"/>
      <c r="D12" s="19"/>
      <c r="E12" s="19"/>
      <c r="F12" s="19"/>
      <c r="G12" s="20"/>
    </row>
    <row r="13" ht="15.75" spans="2:7">
      <c r="B13" s="21" t="s">
        <v>186</v>
      </c>
      <c r="C13" s="6" t="s">
        <v>187</v>
      </c>
      <c r="D13" s="6" t="s">
        <v>188</v>
      </c>
      <c r="E13" s="6" t="s">
        <v>189</v>
      </c>
      <c r="F13" s="6" t="s">
        <v>190</v>
      </c>
      <c r="G13" s="7" t="s">
        <v>191</v>
      </c>
    </row>
    <row r="14" ht="15.75" spans="2:7">
      <c r="B14" s="8" t="s">
        <v>203</v>
      </c>
      <c r="C14" s="9">
        <v>221.73</v>
      </c>
      <c r="D14" s="9" t="s">
        <v>45</v>
      </c>
      <c r="E14" s="10" t="s">
        <v>197</v>
      </c>
      <c r="F14" s="11">
        <v>800</v>
      </c>
      <c r="G14" s="12">
        <f t="shared" ref="G14:G24" si="1">C14/F14</f>
        <v>0.2771625</v>
      </c>
    </row>
    <row r="15" ht="15.75" spans="2:7">
      <c r="B15" s="8" t="s">
        <v>204</v>
      </c>
      <c r="C15" s="9">
        <v>58</v>
      </c>
      <c r="D15" s="9" t="s">
        <v>45</v>
      </c>
      <c r="E15" s="10" t="s">
        <v>197</v>
      </c>
      <c r="F15" s="11">
        <v>800</v>
      </c>
      <c r="G15" s="12">
        <f t="shared" si="1"/>
        <v>0.0725</v>
      </c>
    </row>
    <row r="16" ht="15.75" spans="2:15">
      <c r="B16" s="8" t="s">
        <v>205</v>
      </c>
      <c r="C16" s="9">
        <v>117.82</v>
      </c>
      <c r="D16" s="9" t="s">
        <v>45</v>
      </c>
      <c r="E16" s="10" t="s">
        <v>193</v>
      </c>
      <c r="F16" s="11">
        <v>1350</v>
      </c>
      <c r="G16" s="12">
        <f t="shared" si="1"/>
        <v>0.0872740740740741</v>
      </c>
      <c r="O16" s="46"/>
    </row>
    <row r="17" ht="15.75" spans="2:7">
      <c r="B17" s="8" t="s">
        <v>206</v>
      </c>
      <c r="C17" s="9">
        <v>107</v>
      </c>
      <c r="D17" s="9" t="s">
        <v>45</v>
      </c>
      <c r="E17" s="10" t="s">
        <v>193</v>
      </c>
      <c r="F17" s="11">
        <v>1350</v>
      </c>
      <c r="G17" s="12">
        <f t="shared" si="1"/>
        <v>0.0792592592592593</v>
      </c>
    </row>
    <row r="18" ht="15.75" spans="2:7">
      <c r="B18" s="8" t="s">
        <v>207</v>
      </c>
      <c r="C18" s="9">
        <v>180</v>
      </c>
      <c r="D18" s="9" t="s">
        <v>45</v>
      </c>
      <c r="E18" s="10" t="s">
        <v>208</v>
      </c>
      <c r="F18" s="11">
        <v>1350</v>
      </c>
      <c r="G18" s="12">
        <f t="shared" si="1"/>
        <v>0.133333333333333</v>
      </c>
    </row>
    <row r="19" ht="15.75" spans="2:7">
      <c r="B19" s="8" t="s">
        <v>209</v>
      </c>
      <c r="C19" s="9">
        <v>511.21</v>
      </c>
      <c r="D19" s="9" t="s">
        <v>45</v>
      </c>
      <c r="E19" s="10" t="s">
        <v>208</v>
      </c>
      <c r="F19" s="11">
        <v>800</v>
      </c>
      <c r="G19" s="12">
        <f t="shared" si="1"/>
        <v>0.6390125</v>
      </c>
    </row>
    <row r="20" ht="15.75" spans="2:7">
      <c r="B20" s="8" t="s">
        <v>210</v>
      </c>
      <c r="C20" s="9">
        <v>0</v>
      </c>
      <c r="D20" s="9" t="s">
        <v>45</v>
      </c>
      <c r="E20" s="10" t="s">
        <v>208</v>
      </c>
      <c r="F20" s="11">
        <v>300</v>
      </c>
      <c r="G20" s="12">
        <f t="shared" si="1"/>
        <v>0</v>
      </c>
    </row>
    <row r="21" ht="15.75" spans="2:7">
      <c r="B21" s="8" t="s">
        <v>211</v>
      </c>
      <c r="C21" s="9">
        <v>198.38</v>
      </c>
      <c r="D21" s="9" t="s">
        <v>45</v>
      </c>
      <c r="E21" s="10" t="s">
        <v>197</v>
      </c>
      <c r="F21" s="11">
        <v>800</v>
      </c>
      <c r="G21" s="12">
        <f t="shared" si="1"/>
        <v>0.247975</v>
      </c>
    </row>
    <row r="22" ht="15.75" spans="2:7">
      <c r="B22" s="8" t="s">
        <v>212</v>
      </c>
      <c r="C22" s="9">
        <v>98.74</v>
      </c>
      <c r="D22" s="9" t="s">
        <v>45</v>
      </c>
      <c r="E22" s="10" t="s">
        <v>197</v>
      </c>
      <c r="F22" s="11">
        <v>800</v>
      </c>
      <c r="G22" s="12">
        <f t="shared" si="1"/>
        <v>0.123425</v>
      </c>
    </row>
    <row r="23" ht="15.75" spans="2:7">
      <c r="B23" s="8" t="s">
        <v>213</v>
      </c>
      <c r="C23" s="9">
        <v>850.7</v>
      </c>
      <c r="D23" s="9" t="s">
        <v>45</v>
      </c>
      <c r="E23" s="10" t="s">
        <v>197</v>
      </c>
      <c r="F23" s="11">
        <v>1350</v>
      </c>
      <c r="G23" s="12">
        <f t="shared" si="1"/>
        <v>0.630148148148148</v>
      </c>
    </row>
    <row r="24" ht="15.75" spans="2:7">
      <c r="B24" s="8" t="s">
        <v>214</v>
      </c>
      <c r="C24" s="9">
        <v>60.72</v>
      </c>
      <c r="D24" s="9" t="s">
        <v>45</v>
      </c>
      <c r="E24" s="10" t="s">
        <v>197</v>
      </c>
      <c r="F24" s="11">
        <v>800</v>
      </c>
      <c r="G24" s="12">
        <f t="shared" si="1"/>
        <v>0.0759</v>
      </c>
    </row>
    <row r="25" ht="15.75" spans="2:7">
      <c r="B25" s="8"/>
      <c r="C25" s="9">
        <f>SUM(C14:C24)</f>
        <v>2404.3</v>
      </c>
      <c r="D25" s="10"/>
      <c r="E25" s="10"/>
      <c r="F25" s="22"/>
      <c r="G25" s="13">
        <f>ROUND(SUM(G14:G24),0)</f>
        <v>2</v>
      </c>
    </row>
    <row r="26" ht="15.75" spans="2:7">
      <c r="B26" s="23"/>
      <c r="C26" s="24"/>
      <c r="D26" s="25"/>
      <c r="E26" s="25"/>
      <c r="F26" s="26"/>
      <c r="G26" s="27"/>
    </row>
    <row r="27" ht="15.75" spans="2:7">
      <c r="B27" s="18" t="s">
        <v>215</v>
      </c>
      <c r="C27" s="19"/>
      <c r="D27" s="19"/>
      <c r="E27" s="19"/>
      <c r="F27" s="19"/>
      <c r="G27" s="20"/>
    </row>
    <row r="28" ht="15.75" spans="2:7">
      <c r="B28" s="21" t="s">
        <v>186</v>
      </c>
      <c r="C28" s="6" t="s">
        <v>187</v>
      </c>
      <c r="D28" s="6" t="s">
        <v>188</v>
      </c>
      <c r="E28" s="6" t="s">
        <v>189</v>
      </c>
      <c r="F28" s="6" t="s">
        <v>190</v>
      </c>
      <c r="G28" s="7" t="s">
        <v>191</v>
      </c>
    </row>
    <row r="29" ht="16.5" spans="2:7">
      <c r="B29" s="28" t="s">
        <v>210</v>
      </c>
      <c r="C29" s="29">
        <v>50.33</v>
      </c>
      <c r="D29" s="29" t="s">
        <v>45</v>
      </c>
      <c r="E29" s="30" t="s">
        <v>208</v>
      </c>
      <c r="F29" s="31">
        <v>300</v>
      </c>
      <c r="G29" s="32">
        <f t="shared" ref="G29" si="2">C29/F29</f>
        <v>0.167766666666667</v>
      </c>
    </row>
    <row r="30" ht="16.5" spans="2:7">
      <c r="B30" s="33"/>
      <c r="C30" s="24"/>
      <c r="D30" s="24"/>
      <c r="F30" s="34"/>
      <c r="G30" s="34"/>
    </row>
    <row r="31" ht="15.75" spans="2:7">
      <c r="B31" s="35" t="s">
        <v>216</v>
      </c>
      <c r="C31" s="36"/>
      <c r="D31" s="34"/>
      <c r="F31" s="34"/>
      <c r="G31" s="34"/>
    </row>
    <row r="32" ht="15.75" spans="2:7">
      <c r="B32" s="8" t="s">
        <v>9</v>
      </c>
      <c r="C32" s="37">
        <f>ROUND(AVERAGE(F14:F24),0)</f>
        <v>955</v>
      </c>
      <c r="D32" s="34"/>
      <c r="F32" s="34"/>
      <c r="G32" s="34"/>
    </row>
    <row r="33" ht="15.75" spans="2:7">
      <c r="B33" s="8" t="s">
        <v>12</v>
      </c>
      <c r="C33" s="37">
        <f>ROUND(AVERAGE(F4:F9),0)</f>
        <v>34767</v>
      </c>
      <c r="D33" s="34"/>
      <c r="F33" s="34"/>
      <c r="G33" s="34"/>
    </row>
    <row r="34" ht="16.5" spans="2:7">
      <c r="B34" s="28" t="s">
        <v>210</v>
      </c>
      <c r="C34" s="38">
        <f>ROUND(AVERAGE(F29),0)</f>
        <v>300</v>
      </c>
      <c r="D34" s="34"/>
      <c r="F34" s="34"/>
      <c r="G34" s="34"/>
    </row>
    <row r="35" ht="16.5" spans="2:7">
      <c r="B35" s="33"/>
      <c r="C35" s="24"/>
      <c r="D35" s="34"/>
      <c r="F35" s="34"/>
      <c r="G35" s="34"/>
    </row>
    <row r="36" ht="15.75" spans="2:7">
      <c r="B36" s="39" t="s">
        <v>217</v>
      </c>
      <c r="C36" s="40" t="s">
        <v>218</v>
      </c>
      <c r="D36" s="34"/>
      <c r="F36" s="34"/>
      <c r="G36" s="34"/>
    </row>
    <row r="37" ht="15.75" spans="2:7">
      <c r="B37" s="8" t="s">
        <v>49</v>
      </c>
      <c r="C37" s="41">
        <f>ROUNDUP(G10+G25+G29,0)</f>
        <v>10</v>
      </c>
      <c r="D37" s="34"/>
      <c r="F37" s="34"/>
      <c r="G37" s="34"/>
    </row>
    <row r="38" ht="15.75" spans="2:7">
      <c r="B38" s="8" t="s">
        <v>146</v>
      </c>
      <c r="C38" s="41">
        <v>1</v>
      </c>
      <c r="D38" s="34"/>
      <c r="E38" s="34"/>
      <c r="F38" s="34"/>
      <c r="G38" s="42"/>
    </row>
    <row r="39" ht="16.5" spans="2:7">
      <c r="B39" s="43" t="s">
        <v>219</v>
      </c>
      <c r="C39" s="44">
        <f>C37+C38</f>
        <v>11</v>
      </c>
      <c r="D39" s="34"/>
      <c r="E39" s="34"/>
      <c r="F39" s="34"/>
      <c r="G39" s="34"/>
    </row>
    <row r="41" spans="2:2">
      <c r="B41" s="45"/>
    </row>
  </sheetData>
  <mergeCells count="5">
    <mergeCell ref="B1:G1"/>
    <mergeCell ref="B2:G2"/>
    <mergeCell ref="B12:G12"/>
    <mergeCell ref="B27:G27"/>
    <mergeCell ref="B31:C31"/>
  </mergeCells>
  <pageMargins left="0.511811024" right="0.511811024" top="0.787401575" bottom="0.787401575" header="0.31496062" footer="0.3149606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VALOR GLOBAL</vt:lpstr>
      <vt:lpstr>QUADRO RESUMO</vt:lpstr>
      <vt:lpstr>SERVENTE</vt:lpstr>
      <vt:lpstr>ENCARREGADO</vt:lpstr>
      <vt:lpstr>Complemento para limpeza </vt:lpstr>
      <vt:lpstr>CALCULO DAS AREAS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Arcangela Silva Casagrande</dc:creator>
  <cp:lastModifiedBy>marcelo.roberto</cp:lastModifiedBy>
  <dcterms:created xsi:type="dcterms:W3CDTF">2018-01-23T19:35:00Z</dcterms:created>
  <dcterms:modified xsi:type="dcterms:W3CDTF">2025-12-17T13:05:38Z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F9991071CF434326B0215F587767ECEE_13</vt:lpwstr>
  </property>
  <property fmtid="{D5CDD505-2E9C-101B-9397-08002B2CF9AE}" pid="3" name="KSOProductBuildVer">
    <vt:lpwstr>1046-12.2.0.16909</vt:lpwstr>
  </property>
</Properties>
</file>