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trlProps/ctrlProp3.xml" ContentType="application/vnd.ms-excel.controlproperties+xml"/>
  <Override PartName="/xl/drawings/drawing4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ctrlProps/ctrlProp4.xml" ContentType="application/vnd.ms-excel.controlproperties+xml"/>
  <Override PartName="/xl/drawings/drawing5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ctrlProps/ctrlProp5.xml" ContentType="application/vnd.ms-excel.controlproperties+xml"/>
  <Override PartName="/xl/drawings/drawing6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trlProps/ctrlProp6.xml" ContentType="application/vnd.ms-excel.controlproperties+xml"/>
  <Override PartName="/xl/drawings/drawing7.xml" ContentType="application/vnd.openxmlformats-officedocument.drawing+xml"/>
  <Override PartName="/xl/activeX/activeX7.xml" ContentType="application/vnd.ms-office.activeX+xml"/>
  <Override PartName="/xl/activeX/activeX7.bin" ContentType="application/vnd.ms-office.activeX"/>
  <Override PartName="/xl/ctrlProps/ctrlProp7.xml" ContentType="application/vnd.ms-excel.controlproperties+xml"/>
  <Override PartName="/xl/drawings/drawing8.xml" ContentType="application/vnd.openxmlformats-officedocument.drawing+xml"/>
  <Override PartName="/xl/activeX/activeX8.xml" ContentType="application/vnd.ms-office.activeX+xml"/>
  <Override PartName="/xl/activeX/activeX8.bin" ContentType="application/vnd.ms-office.activeX"/>
  <Override PartName="/xl/ctrlProps/ctrlProp8.xml" ContentType="application/vnd.ms-excel.controlproperties+xml"/>
  <Override PartName="/xl/drawings/drawing9.xml" ContentType="application/vnd.openxmlformats-officedocument.drawing+xml"/>
  <Override PartName="/xl/activeX/activeX9.xml" ContentType="application/vnd.ms-office.activeX+xml"/>
  <Override PartName="/xl/activeX/activeX9.bin" ContentType="application/vnd.ms-office.activeX"/>
  <Override PartName="/xl/ctrlProps/ctrlProp9.xml" ContentType="application/vnd.ms-excel.controlproperties+xml"/>
  <Override PartName="/xl/drawings/drawing10.xml" ContentType="application/vnd.openxmlformats-officedocument.drawing+xml"/>
  <Override PartName="/xl/activeX/activeX10.xml" ContentType="application/vnd.ms-office.activeX+xml"/>
  <Override PartName="/xl/activeX/activeX10.bin" ContentType="application/vnd.ms-office.activeX"/>
  <Override PartName="/xl/ctrlProps/ctrlProp10.xml" ContentType="application/vnd.ms-excel.controlproperties+xml"/>
  <Override PartName="/xl/drawings/drawing11.xml" ContentType="application/vnd.openxmlformats-officedocument.drawing+xml"/>
  <Override PartName="/xl/activeX/activeX11.xml" ContentType="application/vnd.ms-office.activeX+xml"/>
  <Override PartName="/xl/activeX/activeX11.bin" ContentType="application/vnd.ms-office.activeX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lcilane.silva\Documents\alcilane\GRR\Licitações\Processo kits panificação\"/>
    </mc:Choice>
  </mc:AlternateContent>
  <bookViews>
    <workbookView xWindow="0" yWindow="0" windowWidth="25200" windowHeight="10530" firstSheet="1" activeTab="1"/>
  </bookViews>
  <sheets>
    <sheet name="ORIENTAÇÕES E ADVERTÊNCIAS" sheetId="7" r:id="rId1"/>
    <sheet name="1-Freezer" sheetId="27" r:id="rId2"/>
    <sheet name="2-Mesa de manipulação" sheetId="28" r:id="rId3"/>
    <sheet name="3-Liquidificador industrial 08L" sheetId="29" r:id="rId4"/>
    <sheet name="4-Batedeira industrial" sheetId="30" r:id="rId5"/>
    <sheet name="5-Cilindro elétrico" sheetId="31" r:id="rId6"/>
    <sheet name="6-Amassadeira preparo massas" sheetId="32" r:id="rId7"/>
    <sheet name="7-Divisora de coluna de massas" sheetId="33" r:id="rId8"/>
    <sheet name="8-Modeladora massa panificação" sheetId="34" r:id="rId9"/>
    <sheet name="9-Balança eletrônica" sheetId="35" r:id="rId10"/>
    <sheet name="10-Armário estufa panificação" sheetId="36" r:id="rId11"/>
    <sheet name="11-Forno indust. panif. gás" sheetId="37" r:id="rId12"/>
  </sheets>
  <externalReferences>
    <externalReference r:id="rId13"/>
  </externalReferences>
  <definedNames>
    <definedName name="__IV100500">'[1]MANCHA 20- NORTE'!#REF!</definedName>
    <definedName name="__IV65617">'[1]MANCHA 20- NORTE'!#REF!</definedName>
    <definedName name="__IV65999">'[1]MANCHA 20- NORTE'!#REF!</definedName>
    <definedName name="__IV66000">'[1]MANCHA 20- NORTE'!#REF!</definedName>
    <definedName name="__IV67021">'[1]MANCHA 20- NORTE'!#REF!</definedName>
    <definedName name="__IV67022">'[1]MANCHA 20- NORTE'!#REF!</definedName>
    <definedName name="__IV69999">'[1]MANCHA 20- NORTE'!#REF!</definedName>
    <definedName name="__IV99999">'[1]MANCHA 20- NORTE'!#REF!</definedName>
    <definedName name="_aga14">#REF!</definedName>
    <definedName name="_aga16">#REF!</definedName>
    <definedName name="_asc321">#REF!</definedName>
    <definedName name="_bur3220">#REF!</definedName>
    <definedName name="_cap20">#REF!</definedName>
    <definedName name="_ccr12">#REF!</definedName>
    <definedName name="_cva32">#REF!</definedName>
    <definedName name="_cva50">#REF!</definedName>
    <definedName name="_cva60">#REF!</definedName>
    <definedName name="_cve45100">#REF!</definedName>
    <definedName name="_cve90100">#REF!</definedName>
    <definedName name="_cve9040">#REF!</definedName>
    <definedName name="_djm10">#REF!</definedName>
    <definedName name="_djm15">#REF!</definedName>
    <definedName name="_epl2">#REF!</definedName>
    <definedName name="_epl5">#REF!</definedName>
    <definedName name="_est15">#REF!</definedName>
    <definedName name="_fil1">#REF!</definedName>
    <definedName name="_fil2">#REF!</definedName>
    <definedName name="_fio12">#REF!</definedName>
    <definedName name="_fis5">#REF!</definedName>
    <definedName name="_flf50">#REF!</definedName>
    <definedName name="_flf60">#REF!</definedName>
    <definedName name="_fpd12">#REF!</definedName>
    <definedName name="_fvr10">#REF!</definedName>
    <definedName name="_itu1">#REF!</definedName>
    <definedName name="_IV100500">#REF!</definedName>
    <definedName name="_IV65617">#REF!</definedName>
    <definedName name="_IV65999">#REF!</definedName>
    <definedName name="_IV66000">#REF!</definedName>
    <definedName name="_IV67021">#REF!</definedName>
    <definedName name="_IV67022">#REF!</definedName>
    <definedName name="_IV69999">#REF!</definedName>
    <definedName name="_IV99999">#REF!</definedName>
    <definedName name="_jla20">#REF!</definedName>
    <definedName name="_jla32">#REF!</definedName>
    <definedName name="_lpi100">#REF!</definedName>
    <definedName name="_lvg10060">#REF!</definedName>
    <definedName name="_lvp32">#REF!</definedName>
    <definedName name="_lxa1">NA()</definedName>
    <definedName name="_man50">#REF!</definedName>
    <definedName name="_ope1">#REF!</definedName>
    <definedName name="_ope2">#REF!</definedName>
    <definedName name="_ope3">#REF!</definedName>
    <definedName name="_pne1">#REF!</definedName>
    <definedName name="_pne2">#REF!</definedName>
    <definedName name="_prg1515">#REF!</definedName>
    <definedName name="_prg1827">#REF!</definedName>
    <definedName name="_ptc7">NA()</definedName>
    <definedName name="_ptm6">#REF!</definedName>
    <definedName name="_qdm3">#REF!</definedName>
    <definedName name="_rcm10">#REF!</definedName>
    <definedName name="_rcm15">#REF!</definedName>
    <definedName name="_rcm20">#REF!</definedName>
    <definedName name="_rcm5">#REF!</definedName>
    <definedName name="_res10">#REF!</definedName>
    <definedName name="_res15">#REF!</definedName>
    <definedName name="_res5">#REF!</definedName>
    <definedName name="_rge32">#REF!</definedName>
    <definedName name="_rgf60">#REF!</definedName>
    <definedName name="_rgp1">#REF!</definedName>
    <definedName name="_tap100">#REF!</definedName>
    <definedName name="_tb112">#REF!</definedName>
    <definedName name="_tb16">#REF!</definedName>
    <definedName name="_tb19">#REF!</definedName>
    <definedName name="_tba20">#REF!</definedName>
    <definedName name="_tba32">#REF!</definedName>
    <definedName name="_tba50">#REF!</definedName>
    <definedName name="_tba60">#REF!</definedName>
    <definedName name="_tbe100">#REF!</definedName>
    <definedName name="_tbe40">#REF!</definedName>
    <definedName name="_tbe50">#REF!</definedName>
    <definedName name="_tca80">#REF!</definedName>
    <definedName name="_tea32">#REF!</definedName>
    <definedName name="_tea4560">#REF!</definedName>
    <definedName name="_tee100">#REF!</definedName>
    <definedName name="_ter10050">#REF!</definedName>
    <definedName name="_tfg50">#REF!</definedName>
    <definedName name="_tlf6">#REF!</definedName>
    <definedName name="_tub10012">#REF!</definedName>
    <definedName name="_tub10015">#REF!</definedName>
    <definedName name="_tub10020">#REF!</definedName>
    <definedName name="_tub15012">#REF!</definedName>
    <definedName name="_tub4012">#REF!</definedName>
    <definedName name="_tub4015">#REF!</definedName>
    <definedName name="_tub4020">#REF!</definedName>
    <definedName name="_tub5012">#REF!</definedName>
    <definedName name="_tub5015">#REF!</definedName>
    <definedName name="_tub5020">#REF!</definedName>
    <definedName name="_tub7512">#REF!</definedName>
    <definedName name="_tub7515">#REF!</definedName>
    <definedName name="_tub7520">#REF!</definedName>
    <definedName name="acl">#REF!</definedName>
    <definedName name="aço">#REF!</definedName>
    <definedName name="ade">#REF!</definedName>
    <definedName name="adtimp">#REF!</definedName>
    <definedName name="afi">#REF!</definedName>
    <definedName name="afp">#REF!</definedName>
    <definedName name="agr">#REF!</definedName>
    <definedName name="amc">#REF!</definedName>
    <definedName name="amd">#REF!</definedName>
    <definedName name="ame">#REF!</definedName>
    <definedName name="amm">#REF!</definedName>
    <definedName name="anb">#REF!</definedName>
    <definedName name="apc">NA()</definedName>
    <definedName name="apc_8">NA()</definedName>
    <definedName name="apmfs">#REF!</definedName>
    <definedName name="are">#REF!</definedName>
    <definedName name="_xlnm.Print_Area" localSheetId="1">'1-Freezer'!$A$1:$L$38</definedName>
    <definedName name="_xlnm.Print_Area" localSheetId="2">'2-Mesa de manipulação'!$B$2:$J$37</definedName>
    <definedName name="_xlnm.Print_Area" localSheetId="3">'3-Liquidificador industrial 08L'!$B$2:$J$37</definedName>
    <definedName name="B320I">#REF!</definedName>
    <definedName name="B320P">#REF!</definedName>
    <definedName name="B500I">#REF!</definedName>
    <definedName name="B500P">#REF!</definedName>
    <definedName name="bcc10.10">#REF!</definedName>
    <definedName name="bcc10.20">#REF!</definedName>
    <definedName name="bcc4.5">#REF!</definedName>
    <definedName name="bcc5.10">#REF!</definedName>
    <definedName name="bcc5.15">#REF!</definedName>
    <definedName name="bcc5.20">#REF!</definedName>
    <definedName name="bcc5.5">#REF!</definedName>
    <definedName name="bcc6.10">#REF!</definedName>
    <definedName name="bcc6.15">#REF!</definedName>
    <definedName name="bcc6.20">#REF!</definedName>
    <definedName name="bcc6.5">#REF!</definedName>
    <definedName name="bcc8.10">#REF!</definedName>
    <definedName name="bcc8.15">#REF!</definedName>
    <definedName name="bcc8.20">#REF!</definedName>
    <definedName name="bcc8.5">#REF!</definedName>
    <definedName name="bcf">#REF!</definedName>
    <definedName name="bcp">#REF!</definedName>
    <definedName name="BDI">#REF!</definedName>
    <definedName name="BDIE">NA()</definedName>
    <definedName name="bet">#REF!</definedName>
    <definedName name="bomp2">#REF!</definedName>
    <definedName name="BPF">#REF!</definedName>
    <definedName name="CA15I">#REF!</definedName>
    <definedName name="CA15P">#REF!</definedName>
    <definedName name="CA25I">#REF!</definedName>
    <definedName name="CA25P">#REF!</definedName>
    <definedName name="caba1_0">NA()</definedName>
    <definedName name="caba1_0_8">NA()</definedName>
    <definedName name="caba4">NA()</definedName>
    <definedName name="caba4_8">NA()</definedName>
    <definedName name="cal">#REF!</definedName>
    <definedName name="calpi">#REF!</definedName>
    <definedName name="camp">#REF!</definedName>
    <definedName name="CB10I">#REF!</definedName>
    <definedName name="CB10P">#REF!</definedName>
    <definedName name="CB4I">#REF!</definedName>
    <definedName name="CB4P">#REF!</definedName>
    <definedName name="CB6.5I">#REF!</definedName>
    <definedName name="CB6.5P">#REF!</definedName>
    <definedName name="CB6I">#REF!</definedName>
    <definedName name="CB6P">#REF!</definedName>
    <definedName name="cbas">#REF!</definedName>
    <definedName name="ccp">#REF!</definedName>
    <definedName name="cds">#REF!</definedName>
    <definedName name="cec20x20">#REF!</definedName>
    <definedName name="cer1_2">#REF!</definedName>
    <definedName name="chaf">#REF!</definedName>
    <definedName name="cib">#REF!</definedName>
    <definedName name="cim">#REF!</definedName>
    <definedName name="clp">#REF!</definedName>
    <definedName name="clr1_2">#REF!</definedName>
    <definedName name="CM9I">#REF!</definedName>
    <definedName name="CM9P">#REF!</definedName>
    <definedName name="comp">#REF!</definedName>
    <definedName name="CPA">#REF!</definedName>
    <definedName name="CPAF">#REF!</definedName>
    <definedName name="ctfa4">#REF!</definedName>
    <definedName name="ctpvc">#REF!</definedName>
    <definedName name="cumeeira">#REF!</definedName>
    <definedName name="cumeira">#REF!</definedName>
    <definedName name="cxp4x2">#REF!</definedName>
    <definedName name="D6I">#REF!</definedName>
    <definedName name="D6P">#REF!</definedName>
    <definedName name="D8I">#REF!</definedName>
    <definedName name="D8P">#REF!</definedName>
    <definedName name="DAT">NA()</definedName>
    <definedName name="DAT_8">NA()</definedName>
    <definedName name="desm">#REF!</definedName>
    <definedName name="DIE">#REF!</definedName>
    <definedName name="DIF">#REF!</definedName>
    <definedName name="DKM">#REF!</definedName>
    <definedName name="E">#REF!</definedName>
    <definedName name="ecm">#REF!</definedName>
    <definedName name="ele">#REF!</definedName>
    <definedName name="elr1_2">#REF!</definedName>
    <definedName name="elv50x40">#REF!</definedName>
    <definedName name="enc">#REF!</definedName>
    <definedName name="ENE">#REF!</definedName>
    <definedName name="epm2.5">#REF!</definedName>
    <definedName name="esm">#REF!</definedName>
    <definedName name="est">#REF!</definedName>
    <definedName name="est1.5_15">#REF!</definedName>
    <definedName name="fcm">#REF!</definedName>
    <definedName name="fer">#REF!</definedName>
    <definedName name="fossa">#REF!</definedName>
    <definedName name="FT">#REF!</definedName>
    <definedName name="GAS">#REF!</definedName>
    <definedName name="gdc">#REF!</definedName>
    <definedName name="gfg">#REF!</definedName>
    <definedName name="ggm">#REF!</definedName>
    <definedName name="graf">NA()</definedName>
    <definedName name="graf_8">NA()</definedName>
    <definedName name="GRI">#REF!</definedName>
    <definedName name="GRP">#REF!</definedName>
    <definedName name="grx">#REF!</definedName>
    <definedName name="hid1_2">#REF!</definedName>
    <definedName name="ipf">#REF!</definedName>
    <definedName name="itus1">#REF!</definedName>
    <definedName name="jla1_220">#REF!</definedName>
    <definedName name="JRS">#REF!</definedName>
    <definedName name="lm6_3">#REF!</definedName>
    <definedName name="lnm">#REF!</definedName>
    <definedName name="lpb">#REF!</definedName>
    <definedName name="LSO">#REF!</definedName>
    <definedName name="lub">#REF!</definedName>
    <definedName name="lvg12050_1">#REF!</definedName>
    <definedName name="lvp1_2">#REF!</definedName>
    <definedName name="lvr">#REF!</definedName>
    <definedName name="lxa">#REF!</definedName>
    <definedName name="lxa1_8">NA()</definedName>
    <definedName name="lxaf">#REF!</definedName>
    <definedName name="mad">#REF!</definedName>
    <definedName name="map">#REF!</definedName>
    <definedName name="mdn">#REF!</definedName>
    <definedName name="MNI">#REF!</definedName>
    <definedName name="MNP">#REF!</definedName>
    <definedName name="mour">NA()</definedName>
    <definedName name="mour_8">NA()</definedName>
    <definedName name="mpm2.5">#REF!</definedName>
    <definedName name="msv">#REF!</definedName>
    <definedName name="niv">#REF!</definedName>
    <definedName name="nome">NA()</definedName>
    <definedName name="nome_8">NA()</definedName>
    <definedName name="odi">#REF!</definedName>
    <definedName name="ofc">NA()</definedName>
    <definedName name="ofc_8">NA()</definedName>
    <definedName name="ofi">#REF!</definedName>
    <definedName name="OGU">#REF!</definedName>
    <definedName name="oli">#REF!</definedName>
    <definedName name="pcf60x210">#REF!</definedName>
    <definedName name="pcf80x200">#REF!</definedName>
    <definedName name="pcf80x210">#REF!</definedName>
    <definedName name="pcfc">#REF!</definedName>
    <definedName name="pdm">#REF!</definedName>
    <definedName name="pes">#REF!</definedName>
    <definedName name="pig">#REF!</definedName>
    <definedName name="PII">#REF!</definedName>
    <definedName name="PIP">#REF!</definedName>
    <definedName name="plc">#REF!</definedName>
    <definedName name="plc2.5">#REF!</definedName>
    <definedName name="PMS">#REF!</definedName>
    <definedName name="pont">#REF!</definedName>
    <definedName name="pref">NA()</definedName>
    <definedName name="pref_8">NA()</definedName>
    <definedName name="prf">#REF!</definedName>
    <definedName name="prg">#REF!</definedName>
    <definedName name="PROJ">#REF!</definedName>
    <definedName name="prtm">#REF!</definedName>
    <definedName name="ptc7_8">NA()</definedName>
    <definedName name="ptt3x2">#REF!</definedName>
    <definedName name="qgm">#REF!</definedName>
    <definedName name="rdt13.8">#REF!</definedName>
    <definedName name="rec">#REF!</definedName>
    <definedName name="RES">#REF!</definedName>
    <definedName name="rgG3_4">#REF!</definedName>
    <definedName name="rgp1_2">#REF!</definedName>
    <definedName name="RLI">#REF!</definedName>
    <definedName name="RLP">#REF!</definedName>
    <definedName name="RPI">#REF!</definedName>
    <definedName name="RPP">#REF!</definedName>
    <definedName name="s14_">#REF!</definedName>
    <definedName name="SAL">#REF!</definedName>
    <definedName name="seat15">#REF!</definedName>
    <definedName name="sin">#REF!</definedName>
    <definedName name="sollimp">#REF!</definedName>
    <definedName name="srv">#REF!</definedName>
    <definedName name="sum">#REF!</definedName>
    <definedName name="svt">#REF!</definedName>
    <definedName name="sxo">#REF!</definedName>
    <definedName name="tbv">#REF!</definedName>
    <definedName name="ted">#REF!</definedName>
    <definedName name="ter">#REF!</definedName>
    <definedName name="tes">#REF!</definedName>
    <definedName name="tic">NA()</definedName>
    <definedName name="tic_8">NA()</definedName>
    <definedName name="TID">#REF!</definedName>
    <definedName name="tjc">#REF!</definedName>
    <definedName name="tjf">#REF!</definedName>
    <definedName name="tlc">#REF!</definedName>
    <definedName name="tlf">#REF!</definedName>
    <definedName name="tnp1_2">#REF!</definedName>
    <definedName name="tof">#REF!</definedName>
    <definedName name="TOT">#REF!</definedName>
    <definedName name="tp6_12">#REF!</definedName>
    <definedName name="tp6_16">#REF!</definedName>
    <definedName name="TPI">#REF!</definedName>
    <definedName name="tpl1_2">#REF!</definedName>
    <definedName name="tpmfs">#REF!</definedName>
    <definedName name="TPP">#REF!</definedName>
    <definedName name="trb">#REF!</definedName>
    <definedName name="tre">#REF!</definedName>
    <definedName name="ttc">#REF!</definedName>
    <definedName name="tte">#REF!</definedName>
    <definedName name="tus">#REF!</definedName>
    <definedName name="tuso">#REF!</definedName>
    <definedName name="USS">#REF!</definedName>
    <definedName name="v60120_">#REF!</definedName>
    <definedName name="VII">#REF!</definedName>
    <definedName name="VIP">#REF!</definedName>
    <definedName name="VLR">#REF!</definedName>
    <definedName name="vsb">#REF!</definedName>
    <definedName name="zar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1" i="33" l="1" a="1"/>
  <c r="L31" i="33" s="1"/>
  <c r="O32" i="33" a="1"/>
  <c r="O32" i="33" s="1"/>
  <c r="K21" i="31" l="1"/>
  <c r="L37" i="30" l="1"/>
  <c r="L32" i="30"/>
  <c r="L37" i="29"/>
  <c r="P31" i="37" l="1"/>
  <c r="P30" i="37"/>
  <c r="K16" i="28" l="1"/>
  <c r="K19" i="37" l="1"/>
  <c r="K19" i="36" l="1"/>
  <c r="J12" i="35"/>
  <c r="K12" i="35" s="1"/>
  <c r="K19" i="34" l="1"/>
  <c r="A40" i="37"/>
  <c r="A39" i="37"/>
  <c r="O35" i="37" a="1"/>
  <c r="O35" i="37" s="1"/>
  <c r="L32" i="37" s="1"/>
  <c r="P34" i="37" a="1"/>
  <c r="P34" i="37" s="1"/>
  <c r="P33" i="37" a="1"/>
  <c r="P33" i="37" s="1"/>
  <c r="P32" i="37" a="1"/>
  <c r="P32" i="37" s="1"/>
  <c r="O29" i="37"/>
  <c r="L29" i="37"/>
  <c r="O28" i="37"/>
  <c r="L28" i="37"/>
  <c r="O27" i="37"/>
  <c r="L27" i="37"/>
  <c r="O26" i="37"/>
  <c r="L26" i="37"/>
  <c r="O25" i="37"/>
  <c r="L25" i="37"/>
  <c r="O24" i="37"/>
  <c r="L24" i="37"/>
  <c r="O23" i="37"/>
  <c r="L23" i="37"/>
  <c r="O22" i="37"/>
  <c r="L22" i="37" s="1"/>
  <c r="O21" i="37"/>
  <c r="L21" i="37" s="1"/>
  <c r="O20" i="37"/>
  <c r="L20" i="37" s="1"/>
  <c r="L16" i="37"/>
  <c r="K16" i="37"/>
  <c r="O16" i="37" s="1"/>
  <c r="J16" i="37"/>
  <c r="O15" i="37"/>
  <c r="L15" i="37"/>
  <c r="K15" i="37"/>
  <c r="J15" i="37"/>
  <c r="O14" i="37"/>
  <c r="L14" i="37"/>
  <c r="K14" i="37"/>
  <c r="J14" i="37"/>
  <c r="L13" i="37"/>
  <c r="K13" i="37"/>
  <c r="O13" i="37" s="1"/>
  <c r="J13" i="37"/>
  <c r="J12" i="37"/>
  <c r="K12" i="37" s="1"/>
  <c r="J11" i="37"/>
  <c r="K11" i="37" s="1"/>
  <c r="J10" i="37"/>
  <c r="K10" i="37" s="1"/>
  <c r="A40" i="36"/>
  <c r="A39" i="36"/>
  <c r="O35" i="36" a="1"/>
  <c r="O35" i="36" s="1"/>
  <c r="L32" i="36" s="1"/>
  <c r="P34" i="36" a="1"/>
  <c r="P34" i="36" s="1"/>
  <c r="P33" i="36" a="1"/>
  <c r="P33" i="36" s="1"/>
  <c r="P32" i="36" a="1"/>
  <c r="P32" i="36" s="1"/>
  <c r="P31" i="36" a="1"/>
  <c r="P31" i="36" s="1"/>
  <c r="P30" i="36" a="1"/>
  <c r="P30" i="36" s="1"/>
  <c r="O29" i="36"/>
  <c r="L29" i="36"/>
  <c r="O28" i="36"/>
  <c r="L28" i="36"/>
  <c r="O27" i="36"/>
  <c r="L27" i="36"/>
  <c r="O26" i="36"/>
  <c r="L26" i="36"/>
  <c r="O25" i="36"/>
  <c r="L25" i="36"/>
  <c r="O24" i="36"/>
  <c r="L24" i="36"/>
  <c r="O23" i="36"/>
  <c r="L23" i="36"/>
  <c r="O22" i="36"/>
  <c r="L22" i="36" s="1"/>
  <c r="O21" i="36"/>
  <c r="L21" i="36" s="1"/>
  <c r="O20" i="36"/>
  <c r="L20" i="36" s="1"/>
  <c r="O16" i="36"/>
  <c r="L16" i="36"/>
  <c r="K16" i="36"/>
  <c r="J16" i="36"/>
  <c r="K15" i="36"/>
  <c r="L15" i="36" s="1"/>
  <c r="J15" i="36"/>
  <c r="O14" i="36"/>
  <c r="L14" i="36"/>
  <c r="K14" i="36"/>
  <c r="J14" i="36"/>
  <c r="J13" i="36"/>
  <c r="K13" i="36" s="1"/>
  <c r="J12" i="36"/>
  <c r="K12" i="36" s="1"/>
  <c r="J11" i="36"/>
  <c r="K11" i="36" s="1"/>
  <c r="J10" i="36"/>
  <c r="K10" i="36" s="1"/>
  <c r="A40" i="35"/>
  <c r="A39" i="35"/>
  <c r="O35" i="35" a="1"/>
  <c r="O35" i="35" s="1"/>
  <c r="L32" i="35" s="1"/>
  <c r="P34" i="35" a="1"/>
  <c r="P34" i="35" s="1"/>
  <c r="P33" i="35" a="1"/>
  <c r="P33" i="35" s="1"/>
  <c r="P32" i="35" a="1"/>
  <c r="P32" i="35" s="1"/>
  <c r="P31" i="35" a="1"/>
  <c r="P31" i="35" s="1"/>
  <c r="P30" i="35" a="1"/>
  <c r="P30" i="35" s="1"/>
  <c r="O29" i="35"/>
  <c r="L29" i="35"/>
  <c r="O28" i="35"/>
  <c r="L28" i="35"/>
  <c r="O27" i="35"/>
  <c r="L27" i="35"/>
  <c r="O26" i="35"/>
  <c r="L26" i="35"/>
  <c r="O25" i="35"/>
  <c r="L25" i="35"/>
  <c r="O24" i="35"/>
  <c r="L24" i="35"/>
  <c r="O23" i="35"/>
  <c r="L23" i="35"/>
  <c r="O22" i="35"/>
  <c r="L22" i="35" s="1"/>
  <c r="O21" i="35"/>
  <c r="L21" i="35" s="1"/>
  <c r="O20" i="35"/>
  <c r="L20" i="35" s="1"/>
  <c r="K16" i="35"/>
  <c r="L16" i="35" s="1"/>
  <c r="J16" i="35"/>
  <c r="K15" i="35"/>
  <c r="L15" i="35" s="1"/>
  <c r="J15" i="35"/>
  <c r="O14" i="35"/>
  <c r="L14" i="35"/>
  <c r="K14" i="35"/>
  <c r="J14" i="35"/>
  <c r="J13" i="35"/>
  <c r="K13" i="35" s="1"/>
  <c r="O13" i="35" s="1"/>
  <c r="J11" i="35"/>
  <c r="K11" i="35" s="1"/>
  <c r="J10" i="35"/>
  <c r="K10" i="35" s="1"/>
  <c r="A40" i="34"/>
  <c r="A39" i="34"/>
  <c r="O35" i="34" a="1"/>
  <c r="O35" i="34" s="1"/>
  <c r="L32" i="34" s="1"/>
  <c r="P34" i="34" a="1"/>
  <c r="P34" i="34" s="1"/>
  <c r="P33" i="34" a="1"/>
  <c r="P33" i="34" s="1"/>
  <c r="P32" i="34" a="1"/>
  <c r="P32" i="34" s="1"/>
  <c r="P31" i="34" a="1"/>
  <c r="P31" i="34" s="1"/>
  <c r="P30" i="34" a="1"/>
  <c r="P30" i="34" s="1"/>
  <c r="O29" i="34"/>
  <c r="L29" i="34"/>
  <c r="O28" i="34"/>
  <c r="L28" i="34"/>
  <c r="O27" i="34"/>
  <c r="L27" i="34"/>
  <c r="O26" i="34"/>
  <c r="L26" i="34"/>
  <c r="O25" i="34"/>
  <c r="L25" i="34"/>
  <c r="O24" i="34"/>
  <c r="L24" i="34"/>
  <c r="O23" i="34"/>
  <c r="L23" i="34"/>
  <c r="O22" i="34"/>
  <c r="L22" i="34" s="1"/>
  <c r="O21" i="34"/>
  <c r="L21" i="34" s="1"/>
  <c r="O20" i="34"/>
  <c r="L20" i="34" s="1"/>
  <c r="K16" i="34"/>
  <c r="O16" i="34" s="1"/>
  <c r="J16" i="34"/>
  <c r="K15" i="34"/>
  <c r="O15" i="34" s="1"/>
  <c r="J15" i="34"/>
  <c r="O14" i="34"/>
  <c r="K14" i="34"/>
  <c r="L14" i="34" s="1"/>
  <c r="J14" i="34"/>
  <c r="J13" i="34"/>
  <c r="K13" i="34" s="1"/>
  <c r="O13" i="34" s="1"/>
  <c r="J12" i="34"/>
  <c r="K12" i="34" s="1"/>
  <c r="J11" i="34"/>
  <c r="K11" i="34" s="1"/>
  <c r="J10" i="34"/>
  <c r="K10" i="34" s="1"/>
  <c r="K19" i="33"/>
  <c r="K19" i="32"/>
  <c r="J12" i="32"/>
  <c r="K12" i="32" s="1"/>
  <c r="J11" i="32"/>
  <c r="K11" i="32" s="1"/>
  <c r="O11" i="37" l="1"/>
  <c r="L11" i="37" s="1"/>
  <c r="O10" i="37"/>
  <c r="L10" i="37" s="1"/>
  <c r="O19" i="37"/>
  <c r="O30" i="37" s="1" a="1"/>
  <c r="O30" i="37" s="1"/>
  <c r="O13" i="36"/>
  <c r="L13" i="36" s="1"/>
  <c r="O11" i="36"/>
  <c r="L11" i="36" s="1"/>
  <c r="O10" i="36"/>
  <c r="L10" i="36" s="1"/>
  <c r="O11" i="35"/>
  <c r="L11" i="35" s="1"/>
  <c r="O19" i="35"/>
  <c r="O30" i="35" s="1" a="1"/>
  <c r="O30" i="35" s="1"/>
  <c r="O12" i="37"/>
  <c r="L12" i="37" s="1"/>
  <c r="O19" i="36"/>
  <c r="L19" i="36" s="1"/>
  <c r="O15" i="36"/>
  <c r="O12" i="36"/>
  <c r="L12" i="36" s="1"/>
  <c r="O12" i="35"/>
  <c r="L12" i="35" s="1"/>
  <c r="O15" i="35"/>
  <c r="L13" i="35"/>
  <c r="O10" i="35"/>
  <c r="L10" i="35" s="1"/>
  <c r="O16" i="35"/>
  <c r="O10" i="34"/>
  <c r="L10" i="34" s="1"/>
  <c r="O11" i="34"/>
  <c r="L11" i="34" s="1"/>
  <c r="O19" i="34"/>
  <c r="L19" i="34" s="1"/>
  <c r="O12" i="34"/>
  <c r="L12" i="34" s="1"/>
  <c r="L15" i="34"/>
  <c r="L13" i="34"/>
  <c r="L16" i="34"/>
  <c r="O12" i="32"/>
  <c r="L12" i="32" s="1"/>
  <c r="K19" i="30"/>
  <c r="K19" i="28"/>
  <c r="L19" i="37" l="1"/>
  <c r="L31" i="37" s="1" a="1"/>
  <c r="L31" i="37" s="1"/>
  <c r="O32" i="37" a="1"/>
  <c r="O32" i="37" s="1"/>
  <c r="O31" i="37" a="1"/>
  <c r="O31" i="37" s="1"/>
  <c r="L19" i="35"/>
  <c r="L30" i="35" s="1" a="1"/>
  <c r="L30" i="35" s="1"/>
  <c r="L37" i="35" s="1"/>
  <c r="O31" i="35" a="1"/>
  <c r="O31" i="35" s="1"/>
  <c r="O32" i="35" a="1"/>
  <c r="O32" i="35" s="1"/>
  <c r="L30" i="36" a="1"/>
  <c r="L30" i="36" s="1"/>
  <c r="L37" i="36" s="1"/>
  <c r="L31" i="36" a="1"/>
  <c r="L31" i="36" s="1"/>
  <c r="O30" i="36" a="1"/>
  <c r="O30" i="36" s="1"/>
  <c r="O32" i="36" a="1"/>
  <c r="O32" i="36" s="1"/>
  <c r="O31" i="36" a="1"/>
  <c r="O31" i="36" s="1"/>
  <c r="L30" i="34" a="1"/>
  <c r="L30" i="34" s="1"/>
  <c r="L37" i="34" s="1"/>
  <c r="L31" i="34" a="1"/>
  <c r="L31" i="34" s="1"/>
  <c r="O32" i="34" a="1"/>
  <c r="O32" i="34" s="1"/>
  <c r="O30" i="34" a="1"/>
  <c r="O30" i="34" s="1"/>
  <c r="O31" i="34" a="1"/>
  <c r="O31" i="34" s="1"/>
  <c r="K19" i="29"/>
  <c r="O33" i="37" a="1"/>
  <c r="O33" i="36" a="1"/>
  <c r="O34" i="37" a="1"/>
  <c r="O33" i="35" a="1"/>
  <c r="O34" i="35" a="1"/>
  <c r="O34" i="36" a="1"/>
  <c r="O33" i="34" a="1"/>
  <c r="O34" i="34" a="1"/>
  <c r="L30" i="37" l="1" a="1"/>
  <c r="L30" i="37" s="1"/>
  <c r="L37" i="37" s="1"/>
  <c r="O34" i="37"/>
  <c r="O33" i="37"/>
  <c r="O34" i="36"/>
  <c r="O33" i="36"/>
  <c r="L31" i="35" a="1"/>
  <c r="L31" i="35" s="1"/>
  <c r="O33" i="35"/>
  <c r="O34" i="35"/>
  <c r="O34" i="34"/>
  <c r="O33" i="34"/>
  <c r="A40" i="33"/>
  <c r="A39" i="33"/>
  <c r="O35" i="33" a="1"/>
  <c r="O35" i="33" s="1"/>
  <c r="L32" i="33" s="1"/>
  <c r="P34" i="33" a="1"/>
  <c r="P34" i="33" s="1"/>
  <c r="P33" i="33" a="1"/>
  <c r="P33" i="33" s="1"/>
  <c r="P32" i="33" a="1"/>
  <c r="P32" i="33" s="1"/>
  <c r="P31" i="33" a="1"/>
  <c r="P31" i="33" s="1"/>
  <c r="P30" i="33" a="1"/>
  <c r="P30" i="33" s="1"/>
  <c r="O29" i="33"/>
  <c r="L29" i="33"/>
  <c r="O28" i="33"/>
  <c r="L28" i="33"/>
  <c r="O27" i="33"/>
  <c r="L27" i="33"/>
  <c r="O26" i="33"/>
  <c r="L26" i="33"/>
  <c r="O25" i="33"/>
  <c r="L25" i="33"/>
  <c r="O24" i="33"/>
  <c r="L24" i="33"/>
  <c r="O23" i="33"/>
  <c r="L23" i="33"/>
  <c r="O22" i="33"/>
  <c r="L22" i="33" s="1"/>
  <c r="O21" i="33"/>
  <c r="L21" i="33" s="1"/>
  <c r="O20" i="33"/>
  <c r="L20" i="33" s="1"/>
  <c r="O19" i="33"/>
  <c r="L19" i="33" s="1"/>
  <c r="O16" i="33"/>
  <c r="K16" i="33"/>
  <c r="L16" i="33" s="1"/>
  <c r="J16" i="33"/>
  <c r="K15" i="33"/>
  <c r="L15" i="33" s="1"/>
  <c r="J15" i="33"/>
  <c r="K14" i="33"/>
  <c r="L14" i="33" s="1"/>
  <c r="J14" i="33"/>
  <c r="J13" i="33"/>
  <c r="K13" i="33" s="1"/>
  <c r="J12" i="33"/>
  <c r="K12" i="33" s="1"/>
  <c r="J11" i="33"/>
  <c r="K11" i="33" s="1"/>
  <c r="J10" i="33"/>
  <c r="K10" i="33" s="1"/>
  <c r="A40" i="32"/>
  <c r="A39" i="32"/>
  <c r="O35" i="32" a="1"/>
  <c r="O35" i="32" s="1"/>
  <c r="L32" i="32" s="1"/>
  <c r="P34" i="32" a="1"/>
  <c r="P34" i="32" s="1"/>
  <c r="P33" i="32" a="1"/>
  <c r="P33" i="32" s="1"/>
  <c r="P32" i="32" a="1"/>
  <c r="P32" i="32" s="1"/>
  <c r="P31" i="32" a="1"/>
  <c r="P31" i="32" s="1"/>
  <c r="P30" i="32" a="1"/>
  <c r="P30" i="32" s="1"/>
  <c r="O29" i="32"/>
  <c r="L29" i="32"/>
  <c r="O28" i="32"/>
  <c r="L28" i="32"/>
  <c r="O27" i="32"/>
  <c r="L27" i="32"/>
  <c r="O26" i="32"/>
  <c r="L26" i="32"/>
  <c r="O25" i="32"/>
  <c r="L25" i="32"/>
  <c r="O24" i="32"/>
  <c r="L24" i="32"/>
  <c r="O23" i="32"/>
  <c r="L23" i="32"/>
  <c r="O22" i="32"/>
  <c r="L22" i="32" s="1"/>
  <c r="O21" i="32"/>
  <c r="L21" i="32" s="1"/>
  <c r="O20" i="32"/>
  <c r="L20" i="32" s="1"/>
  <c r="O19" i="32"/>
  <c r="L19" i="32" s="1"/>
  <c r="K16" i="32"/>
  <c r="L16" i="32" s="1"/>
  <c r="J16" i="32"/>
  <c r="K15" i="32"/>
  <c r="O15" i="32" s="1"/>
  <c r="J15" i="32"/>
  <c r="K14" i="32"/>
  <c r="L14" i="32" s="1"/>
  <c r="J14" i="32"/>
  <c r="J13" i="32"/>
  <c r="K13" i="32" s="1"/>
  <c r="L13" i="32" s="1"/>
  <c r="J10" i="32"/>
  <c r="K10" i="32" s="1"/>
  <c r="A40" i="31"/>
  <c r="A39" i="31"/>
  <c r="O35" i="31" a="1"/>
  <c r="O35" i="31" s="1"/>
  <c r="L32" i="31" s="1"/>
  <c r="P34" i="31" a="1"/>
  <c r="P34" i="31" s="1"/>
  <c r="P33" i="31" a="1"/>
  <c r="P33" i="31" s="1"/>
  <c r="P32" i="31" a="1"/>
  <c r="P32" i="31" s="1"/>
  <c r="P31" i="31" a="1"/>
  <c r="P31" i="31" s="1"/>
  <c r="P30" i="31" a="1"/>
  <c r="P30" i="31" s="1"/>
  <c r="O29" i="31"/>
  <c r="L29" i="31"/>
  <c r="O28" i="31"/>
  <c r="L28" i="31"/>
  <c r="O27" i="31"/>
  <c r="L27" i="31"/>
  <c r="O26" i="31"/>
  <c r="L26" i="31"/>
  <c r="O25" i="31"/>
  <c r="L25" i="31"/>
  <c r="O24" i="31"/>
  <c r="L24" i="31"/>
  <c r="O23" i="31"/>
  <c r="L23" i="31"/>
  <c r="O22" i="31"/>
  <c r="L22" i="31" s="1"/>
  <c r="K16" i="31"/>
  <c r="O16" i="31" s="1"/>
  <c r="J16" i="31"/>
  <c r="K15" i="31"/>
  <c r="L15" i="31" s="1"/>
  <c r="J15" i="31"/>
  <c r="J14" i="31"/>
  <c r="K14" i="31" s="1"/>
  <c r="O14" i="31" s="1"/>
  <c r="J13" i="31"/>
  <c r="K13" i="31" s="1"/>
  <c r="J12" i="31"/>
  <c r="K12" i="31" s="1"/>
  <c r="O21" i="31" s="1"/>
  <c r="L21" i="31" s="1"/>
  <c r="J11" i="31"/>
  <c r="K11" i="31" s="1"/>
  <c r="J10" i="31"/>
  <c r="K10" i="31" s="1"/>
  <c r="A40" i="30"/>
  <c r="A39" i="30"/>
  <c r="O35" i="30" a="1"/>
  <c r="O35" i="30" s="1"/>
  <c r="P34" i="30" a="1"/>
  <c r="P34" i="30" s="1"/>
  <c r="P33" i="30" a="1"/>
  <c r="P33" i="30" s="1"/>
  <c r="P32" i="30" a="1"/>
  <c r="P32" i="30" s="1"/>
  <c r="P31" i="30" a="1"/>
  <c r="P31" i="30" s="1"/>
  <c r="P30" i="30" a="1"/>
  <c r="P30" i="30" s="1"/>
  <c r="O29" i="30"/>
  <c r="L29" i="30"/>
  <c r="O28" i="30"/>
  <c r="L28" i="30"/>
  <c r="O27" i="30"/>
  <c r="L27" i="30"/>
  <c r="O26" i="30"/>
  <c r="L26" i="30"/>
  <c r="O25" i="30"/>
  <c r="L25" i="30"/>
  <c r="O24" i="30"/>
  <c r="L24" i="30"/>
  <c r="O23" i="30"/>
  <c r="L23" i="30"/>
  <c r="O20" i="30"/>
  <c r="K16" i="30"/>
  <c r="O16" i="30" s="1"/>
  <c r="J16" i="30"/>
  <c r="K15" i="30"/>
  <c r="O15" i="30" s="1"/>
  <c r="J15" i="30"/>
  <c r="K14" i="30"/>
  <c r="O14" i="30" s="1"/>
  <c r="J14" i="30"/>
  <c r="K13" i="30"/>
  <c r="O13" i="30" s="1"/>
  <c r="J13" i="30"/>
  <c r="J12" i="30"/>
  <c r="K12" i="30" s="1"/>
  <c r="J11" i="30"/>
  <c r="K11" i="30" s="1"/>
  <c r="J10" i="30"/>
  <c r="K10" i="30" s="1"/>
  <c r="O19" i="30" s="1"/>
  <c r="L19" i="30" s="1"/>
  <c r="K19" i="27"/>
  <c r="O19" i="31" l="1"/>
  <c r="L19" i="31" s="1"/>
  <c r="O20" i="31"/>
  <c r="L20" i="31" s="1"/>
  <c r="L20" i="30"/>
  <c r="O22" i="30"/>
  <c r="L22" i="30" s="1"/>
  <c r="O21" i="30"/>
  <c r="L21" i="30" s="1"/>
  <c r="L14" i="30"/>
  <c r="O12" i="30"/>
  <c r="L12" i="30" s="1"/>
  <c r="O13" i="33"/>
  <c r="L13" i="33" s="1"/>
  <c r="O10" i="33"/>
  <c r="L10" i="33" s="1"/>
  <c r="O30" i="33" a="1"/>
  <c r="O30" i="33" s="1"/>
  <c r="O16" i="32"/>
  <c r="O13" i="32"/>
  <c r="O32" i="32" a="1"/>
  <c r="O32" i="32" s="1"/>
  <c r="O10" i="32"/>
  <c r="L10" i="32" s="1"/>
  <c r="O31" i="32" a="1"/>
  <c r="O31" i="32" s="1"/>
  <c r="O30" i="32" a="1"/>
  <c r="O30" i="32" s="1"/>
  <c r="O13" i="31"/>
  <c r="L13" i="31" s="1"/>
  <c r="O11" i="31"/>
  <c r="L11" i="31" s="1"/>
  <c r="O10" i="31"/>
  <c r="L10" i="31" s="1"/>
  <c r="O11" i="30"/>
  <c r="L11" i="30" s="1"/>
  <c r="O10" i="30"/>
  <c r="O11" i="33"/>
  <c r="L11" i="33" s="1"/>
  <c r="O14" i="33"/>
  <c r="O31" i="33" a="1"/>
  <c r="O31" i="33" s="1"/>
  <c r="O12" i="33"/>
  <c r="L12" i="33" s="1"/>
  <c r="O15" i="33"/>
  <c r="O11" i="32"/>
  <c r="L11" i="32" s="1"/>
  <c r="O14" i="32"/>
  <c r="L15" i="32"/>
  <c r="O12" i="31"/>
  <c r="L12" i="31" s="1"/>
  <c r="O15" i="31"/>
  <c r="L16" i="31"/>
  <c r="L14" i="31"/>
  <c r="L15" i="30"/>
  <c r="L13" i="30"/>
  <c r="L16" i="30"/>
  <c r="J11" i="27"/>
  <c r="J10" i="27"/>
  <c r="J13" i="27"/>
  <c r="O32" i="31" l="1" a="1"/>
  <c r="O32" i="31" s="1"/>
  <c r="O31" i="31" a="1"/>
  <c r="O31" i="31" s="1"/>
  <c r="O30" i="31" a="1"/>
  <c r="O30" i="31" s="1"/>
  <c r="O30" i="30" a="1"/>
  <c r="O30" i="30" s="1"/>
  <c r="O31" i="30" a="1"/>
  <c r="O31" i="30" s="1"/>
  <c r="O32" i="30" a="1"/>
  <c r="O32" i="30" s="1"/>
  <c r="L30" i="33" a="1"/>
  <c r="L30" i="33" s="1"/>
  <c r="L37" i="33" s="1"/>
  <c r="L30" i="32" a="1"/>
  <c r="L30" i="32" s="1"/>
  <c r="L37" i="32" s="1"/>
  <c r="L31" i="32" a="1"/>
  <c r="L31" i="32" s="1"/>
  <c r="L30" i="31" a="1"/>
  <c r="L30" i="31" s="1"/>
  <c r="L37" i="31" s="1"/>
  <c r="L10" i="30"/>
  <c r="L31" i="30" s="1" a="1"/>
  <c r="L31" i="30" s="1"/>
  <c r="L31" i="31" a="1"/>
  <c r="L31" i="31" s="1"/>
  <c r="A40" i="29"/>
  <c r="A39" i="29"/>
  <c r="O35" i="29" a="1"/>
  <c r="O35" i="29" s="1"/>
  <c r="L32" i="29" s="1"/>
  <c r="P34" i="29" a="1"/>
  <c r="P34" i="29" s="1"/>
  <c r="P33" i="29" a="1"/>
  <c r="P33" i="29" s="1"/>
  <c r="P32" i="29" a="1"/>
  <c r="P32" i="29" s="1"/>
  <c r="P31" i="29" a="1"/>
  <c r="P31" i="29" s="1"/>
  <c r="P30" i="29" a="1"/>
  <c r="P30" i="29" s="1"/>
  <c r="O29" i="29"/>
  <c r="L29" i="29"/>
  <c r="O28" i="29"/>
  <c r="L28" i="29"/>
  <c r="O27" i="29"/>
  <c r="L27" i="29"/>
  <c r="O26" i="29"/>
  <c r="L26" i="29"/>
  <c r="O25" i="29"/>
  <c r="L25" i="29"/>
  <c r="O24" i="29"/>
  <c r="L24" i="29"/>
  <c r="O23" i="29"/>
  <c r="L23" i="29"/>
  <c r="O19" i="29"/>
  <c r="K16" i="29"/>
  <c r="O16" i="29" s="1"/>
  <c r="J16" i="29"/>
  <c r="K15" i="29"/>
  <c r="O15" i="29" s="1"/>
  <c r="J15" i="29"/>
  <c r="K14" i="29"/>
  <c r="O14" i="29" s="1"/>
  <c r="J14" i="29"/>
  <c r="K13" i="29"/>
  <c r="O13" i="29" s="1"/>
  <c r="J13" i="29"/>
  <c r="J12" i="29"/>
  <c r="K12" i="29" s="1"/>
  <c r="J11" i="29"/>
  <c r="K11" i="29" s="1"/>
  <c r="J10" i="29"/>
  <c r="K10" i="29" s="1"/>
  <c r="O20" i="29" s="1"/>
  <c r="A40" i="28"/>
  <c r="A39" i="28"/>
  <c r="O35" i="28"/>
  <c r="O35" i="28" a="1"/>
  <c r="P34" i="28" a="1"/>
  <c r="P34" i="28" s="1"/>
  <c r="P33" i="28" a="1"/>
  <c r="P33" i="28" s="1"/>
  <c r="P32" i="28" a="1"/>
  <c r="P32" i="28" s="1"/>
  <c r="L32" i="28"/>
  <c r="P31" i="28" a="1"/>
  <c r="P31" i="28" s="1"/>
  <c r="P30" i="28" a="1"/>
  <c r="P30" i="28" s="1"/>
  <c r="O29" i="28"/>
  <c r="L29" i="28"/>
  <c r="O28" i="28"/>
  <c r="L28" i="28"/>
  <c r="O27" i="28"/>
  <c r="L27" i="28"/>
  <c r="O26" i="28"/>
  <c r="L26" i="28"/>
  <c r="O25" i="28"/>
  <c r="L25" i="28"/>
  <c r="O24" i="28"/>
  <c r="L24" i="28"/>
  <c r="O23" i="28"/>
  <c r="L23" i="28"/>
  <c r="O22" i="28"/>
  <c r="L22" i="28" s="1"/>
  <c r="O21" i="28"/>
  <c r="L21" i="28" s="1"/>
  <c r="O20" i="28"/>
  <c r="L20" i="28" s="1"/>
  <c r="O19" i="28"/>
  <c r="L19" i="28" s="1"/>
  <c r="O16" i="28"/>
  <c r="L16" i="28" s="1"/>
  <c r="J16" i="28"/>
  <c r="O15" i="28"/>
  <c r="L15" i="28"/>
  <c r="K15" i="28"/>
  <c r="J15" i="28"/>
  <c r="K14" i="28"/>
  <c r="O14" i="28" s="1"/>
  <c r="J14" i="28"/>
  <c r="J13" i="28"/>
  <c r="K13" i="28" s="1"/>
  <c r="J12" i="28"/>
  <c r="K12" i="28" s="1"/>
  <c r="J11" i="28"/>
  <c r="K11" i="28" s="1"/>
  <c r="J10" i="28"/>
  <c r="K10" i="28" s="1"/>
  <c r="O33" i="30" a="1"/>
  <c r="O34" i="31" a="1"/>
  <c r="O33" i="33" a="1"/>
  <c r="O33" i="31" a="1"/>
  <c r="O33" i="32" a="1"/>
  <c r="O34" i="33" a="1"/>
  <c r="O34" i="30" a="1"/>
  <c r="O34" i="32" a="1"/>
  <c r="O34" i="30" l="1"/>
  <c r="O22" i="29"/>
  <c r="L22" i="29" s="1"/>
  <c r="O21" i="29"/>
  <c r="L21" i="29" s="1"/>
  <c r="L19" i="29"/>
  <c r="L15" i="29"/>
  <c r="L20" i="29"/>
  <c r="L13" i="29"/>
  <c r="L16" i="29"/>
  <c r="O34" i="33"/>
  <c r="O33" i="33"/>
  <c r="O34" i="32"/>
  <c r="O33" i="32"/>
  <c r="O34" i="31"/>
  <c r="O33" i="31"/>
  <c r="L30" i="30" a="1"/>
  <c r="L30" i="30" s="1"/>
  <c r="O33" i="30"/>
  <c r="O13" i="28"/>
  <c r="L13" i="28" s="1"/>
  <c r="O12" i="28"/>
  <c r="L12" i="28" s="1"/>
  <c r="O11" i="28"/>
  <c r="L11" i="28" s="1"/>
  <c r="O31" i="28" a="1"/>
  <c r="O31" i="28" s="1"/>
  <c r="O10" i="28"/>
  <c r="O12" i="29"/>
  <c r="L12" i="29" s="1"/>
  <c r="O11" i="29"/>
  <c r="L11" i="29" s="1"/>
  <c r="O10" i="29"/>
  <c r="L10" i="29" s="1"/>
  <c r="L14" i="29"/>
  <c r="O32" i="28" a="1"/>
  <c r="O32" i="28" s="1"/>
  <c r="O30" i="28" a="1"/>
  <c r="O30" i="28" s="1"/>
  <c r="L14" i="28"/>
  <c r="O35" i="27" a="1"/>
  <c r="O35" i="27" s="1"/>
  <c r="P30" i="27" a="1"/>
  <c r="P30" i="27" s="1"/>
  <c r="O33" i="28" a="1"/>
  <c r="O30" i="29" l="1" a="1"/>
  <c r="O30" i="29" s="1"/>
  <c r="O31" i="29" a="1"/>
  <c r="O31" i="29" s="1"/>
  <c r="O32" i="29" a="1"/>
  <c r="O32" i="29" s="1"/>
  <c r="O33" i="28"/>
  <c r="L10" i="28"/>
  <c r="L30" i="29" a="1"/>
  <c r="L30" i="29" s="1"/>
  <c r="L31" i="29" a="1"/>
  <c r="L31" i="29" s="1"/>
  <c r="P33" i="27" a="1"/>
  <c r="P33" i="27" s="1"/>
  <c r="L23" i="27"/>
  <c r="L24" i="27"/>
  <c r="L25" i="27"/>
  <c r="L26" i="27"/>
  <c r="L27" i="27"/>
  <c r="L28" i="27"/>
  <c r="L29" i="27"/>
  <c r="O34" i="29" a="1"/>
  <c r="O33" i="29" a="1"/>
  <c r="O34" i="28" a="1"/>
  <c r="O34" i="28" l="1"/>
  <c r="L31" i="28" a="1"/>
  <c r="L31" i="28" s="1"/>
  <c r="L30" i="28" a="1"/>
  <c r="L30" i="28" s="1"/>
  <c r="L37" i="28" s="1"/>
  <c r="O33" i="29"/>
  <c r="O34" i="29"/>
  <c r="A39" i="27"/>
  <c r="A40" i="27"/>
  <c r="K14" i="27" l="1"/>
  <c r="L14" i="27" s="1"/>
  <c r="K15" i="27"/>
  <c r="L15" i="27" s="1"/>
  <c r="K16" i="27"/>
  <c r="L16" i="27" s="1"/>
  <c r="K11" i="27"/>
  <c r="J12" i="27"/>
  <c r="K12" i="27" s="1"/>
  <c r="K13" i="27"/>
  <c r="J14" i="27"/>
  <c r="J15" i="27"/>
  <c r="J16" i="27"/>
  <c r="K10" i="27"/>
  <c r="O22" i="27"/>
  <c r="L22" i="27" s="1"/>
  <c r="O23" i="27"/>
  <c r="O24" i="27"/>
  <c r="O25" i="27"/>
  <c r="O26" i="27"/>
  <c r="O27" i="27"/>
  <c r="O28" i="27"/>
  <c r="O29" i="27"/>
  <c r="O19" i="27" l="1"/>
  <c r="O20" i="27"/>
  <c r="O21" i="27"/>
  <c r="O10" i="27" l="1"/>
  <c r="P32" i="27" a="1"/>
  <c r="P32" i="27" s="1"/>
  <c r="P31" i="27" a="1"/>
  <c r="P31" i="27" s="1"/>
  <c r="P34" i="27" s="1" a="1"/>
  <c r="P34" i="27" s="1"/>
  <c r="O16" i="27"/>
  <c r="O15" i="27"/>
  <c r="O14" i="27"/>
  <c r="O13" i="27"/>
  <c r="O12" i="27"/>
  <c r="O11" i="27" l="1"/>
  <c r="O30" i="27" l="1" a="1"/>
  <c r="O30" i="27" s="1"/>
  <c r="O32" i="27" a="1"/>
  <c r="O32" i="27" s="1"/>
  <c r="L32" i="27" s="1"/>
  <c r="L13" i="27" s="1"/>
  <c r="O31" i="27" a="1"/>
  <c r="O31" i="27" s="1"/>
  <c r="O34" i="27" a="1"/>
  <c r="O34" i="27" l="1"/>
  <c r="L19" i="27"/>
  <c r="L20" i="27"/>
  <c r="L21" i="27"/>
  <c r="O33" i="27" a="1"/>
  <c r="O33" i="27" l="1"/>
  <c r="L10" i="27"/>
  <c r="L11" i="27"/>
  <c r="L12" i="27"/>
  <c r="L31" i="27" l="1" a="1"/>
  <c r="L31" i="27" s="1"/>
  <c r="L30" i="27" a="1"/>
  <c r="L30" i="27" s="1"/>
  <c r="L37" i="27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<sst xmlns="http://schemas.openxmlformats.org/spreadsheetml/2006/main" count="721" uniqueCount="173">
  <si>
    <t>Órgão</t>
  </si>
  <si>
    <t>Valor Unitário</t>
  </si>
  <si>
    <t>Data</t>
  </si>
  <si>
    <t>Empresa</t>
  </si>
  <si>
    <t>LICITAÇÕES ANTERIORES</t>
  </si>
  <si>
    <t>COTAÇÕES DE MERCADO</t>
  </si>
  <si>
    <t>Média:</t>
  </si>
  <si>
    <t>Mediana:</t>
  </si>
  <si>
    <t>ITEM:</t>
  </si>
  <si>
    <t>UNIDADE DE MEDIDA:</t>
  </si>
  <si>
    <t>Utilizar?  (Sim/Não)</t>
  </si>
  <si>
    <t>Utilizar? (Sim/Não)</t>
  </si>
  <si>
    <t>Processo</t>
  </si>
  <si>
    <t>Responsável</t>
  </si>
  <si>
    <t>índice de atualização (nome)</t>
  </si>
  <si>
    <t>Edital/Ano - Nº do Lote / Item</t>
  </si>
  <si>
    <t>Variação acumulada do índice (%)</t>
  </si>
  <si>
    <t>Observações:</t>
  </si>
  <si>
    <t>QUANTIDADE:</t>
  </si>
  <si>
    <t>Data da pesquisa</t>
  </si>
  <si>
    <t>Quantidade</t>
  </si>
  <si>
    <t>Média</t>
  </si>
  <si>
    <t>Mediana</t>
  </si>
  <si>
    <t>Outliers</t>
  </si>
  <si>
    <t>Cotações</t>
  </si>
  <si>
    <t>Média (Cotações)</t>
  </si>
  <si>
    <t>Mediana (Cotações)</t>
  </si>
  <si>
    <t>CV (Cotações)</t>
  </si>
  <si>
    <t>Tabela auxiliar de metodologias para exclusão de preços</t>
  </si>
  <si>
    <t>Metodologia a adotar:</t>
  </si>
  <si>
    <t>Metodologia de exclusão de preços adotada:</t>
  </si>
  <si>
    <t>A Norma N-440 estabelece critérios objetivos para pesquisa e análise crítica de preços de referência para aquisição de bens e contratação de serviços em geral.</t>
  </si>
  <si>
    <t>A N-440 apresenta os parâmetros para a aplicação de metodologia(s) de exclusão de preços inexequíveis, inconsistentes ou excessivamente elevados.</t>
  </si>
  <si>
    <t>Células Referenciadas</t>
  </si>
  <si>
    <t>Descrição</t>
  </si>
  <si>
    <t>Etapa</t>
  </si>
  <si>
    <t>C2 a C5</t>
  </si>
  <si>
    <t>C7</t>
  </si>
  <si>
    <t>J7</t>
  </si>
  <si>
    <t>Área de Origem</t>
  </si>
  <si>
    <t>Insira a unidade de medida do item (unidade, comprimento, volume, etc).</t>
  </si>
  <si>
    <t>Insira a descrição do item submetido à pesquisa de preços.</t>
  </si>
  <si>
    <t>Insira as informações de processo, responsável e data referentes à pesquisa de preços.</t>
  </si>
  <si>
    <t>Insira a quantidade pesquisada para contratação.</t>
  </si>
  <si>
    <t>Insira as informações obtidas em pesquisa direta de mercado (cotações), se houver.</t>
  </si>
  <si>
    <t>PREÇO UNITÁRIO ESTIMADO ADOTADO:</t>
  </si>
  <si>
    <t>Preço Unitário</t>
  </si>
  <si>
    <t>Preço unitário atualizado</t>
  </si>
  <si>
    <t>Informe o índice de atualização de preços, se for o caso, e a variação acumulada.</t>
  </si>
  <si>
    <t>Por critério do(a) analista</t>
  </si>
  <si>
    <t>O uso desta planilha é responsabilidade exclusiva do(a) analista que efetuar a pesquisa de preços, que deve conferir os dados inseridos e cálculos realizados para a obtenção do preço estimado.</t>
  </si>
  <si>
    <t>Insira as informações pertinentes às licitações e contratações realizadas pela Administração Pública, se houver.</t>
  </si>
  <si>
    <t>Etapas de preenchimento da planilha e orientações:</t>
  </si>
  <si>
    <t>Existem células bloqueadas na planilha, caso apresentem divergências contate a AG/GCT.</t>
  </si>
  <si>
    <t>Esta planilha possui caráter unicamente sugestivo e foi elaborada visando melhorar a transparência dos processos de pesquisa de preços efetivados no âmbito da Codevasf, em suporte à aplicação da Norma N-440.</t>
  </si>
  <si>
    <t>Replique as etapas acima em planilhas/abas individuais para cada item pesquisado. Para isso, crie cópia(s) das planilhas/abas pré-existentes.</t>
  </si>
  <si>
    <t>I0</t>
  </si>
  <si>
    <t>If</t>
  </si>
  <si>
    <t>Licitações Anteriores</t>
  </si>
  <si>
    <t>COSOLIDAÇÃO DOS PREÇOS</t>
  </si>
  <si>
    <t>Coluna1</t>
  </si>
  <si>
    <t>L7</t>
  </si>
  <si>
    <t>G10 a I16</t>
  </si>
  <si>
    <t>B10 a F16</t>
  </si>
  <si>
    <t>B19 a K29</t>
  </si>
  <si>
    <t>O(a) analista deve avaliar se aplicará a metodologia e o preço estimado sugeridos automaticamente (Outliers) ou se modificará a metodologia manualmente na lista suspensa existente na célula O35.</t>
  </si>
  <si>
    <t>Caso o(a) analista selecione a opção de metodologia de exclusão de preços "Por critério do(a) analista", deverá selecionar no botão lateral ou preencher manualmente com "Sim" ou "Não", nas células P10 a P29, quais preços serão utilizados no cálculo do preço estimado.</t>
  </si>
  <si>
    <t>Automaticamente, a célula L32 informa qual foi a metodologia de exclusão de preços adotada pelo(a) analista.</t>
  </si>
  <si>
    <t>Automaticamente, a célula L37 informa o preço estimado calculado com base nas informações e seleções efetivadas pelo(a) analista.</t>
  </si>
  <si>
    <t>L32</t>
  </si>
  <si>
    <t>L37</t>
  </si>
  <si>
    <t>P10 a P29</t>
  </si>
  <si>
    <t>O35</t>
  </si>
  <si>
    <t>Contém a Tabela Auxiliar pertinente às metodologias de exclusão de preços inexequíveis, inconsistentes ou excessivamente elevados. Apenas as células P10 a P29 são passíveis de preenchimento e se aplicam caso seja selecionada a metodologia de exclusão de preços "Por critério do(a) analista".</t>
  </si>
  <si>
    <t>L35</t>
  </si>
  <si>
    <t>Cabe ao analista selecionar no botão escolhendo a média ou mediana conforme melhor cenário para sua composição de preços de referência.</t>
  </si>
  <si>
    <t>N7 a P35</t>
  </si>
  <si>
    <t>Caso haja a necessidade de inserção de mais linhas nos campos de informações de licitações/contratações realizadas pela Administração Pública e pesquisa direta de mercado (cotações), deve-se observar que as células: J10:J16 (Variação acumulada do índice (%)); K10:K16 (Preço unitário atualizado); L10:L16, L19:L29 (Utilizar?  (Sim/Não)); O10:O16, O19:O29 (Outliers), estão automatizas com fórmulas e portanto o (a) analista deve copiar as mesmas fórmulas para as novas linhas inseridas.</t>
  </si>
  <si>
    <t>Alcilane Arnaldo Silva</t>
  </si>
  <si>
    <t>GRR</t>
  </si>
  <si>
    <t>1416650/1473519</t>
  </si>
  <si>
    <t>ERO-POLíCIA MILITAR DO ESTADO DE RONDÔNIA</t>
  </si>
  <si>
    <t>Dispensa/2025/2</t>
  </si>
  <si>
    <t>COMPANHIA. DES. DOS VAL. S FRANCISCO/PARNAÍBA</t>
  </si>
  <si>
    <t>PREFEITURA MUNICIPAL DE MARABÁ- PA</t>
  </si>
  <si>
    <t>Acimaq equipamentos industriais</t>
  </si>
  <si>
    <t>ESTADO DO ACRE</t>
  </si>
  <si>
    <t>ESTADO DE GOIAS</t>
  </si>
  <si>
    <t>INST.FED.DE EDUC.,CIENC.E TEC. DE SÃO PAULO</t>
  </si>
  <si>
    <t>MB-shopp</t>
  </si>
  <si>
    <t>COMPANHIA. DES. DOS VAL. S. FRANCISCO/PARNAÍBA</t>
  </si>
  <si>
    <t>Pregão/90026/2025</t>
  </si>
  <si>
    <t xml:space="preserve"> Pregão/90005/2024/28</t>
  </si>
  <si>
    <t>Pregão/90133/2024/23</t>
  </si>
  <si>
    <t>Pregão/351/2025/5</t>
  </si>
  <si>
    <t>Pregão/17/2025/22</t>
  </si>
  <si>
    <t>Pregão/65/2024/29</t>
  </si>
  <si>
    <t>Contratação direta19/2025/1</t>
  </si>
  <si>
    <t>COMANDO DO EXERCITO</t>
  </si>
  <si>
    <t>Dispensa 90036/2025/1</t>
  </si>
  <si>
    <t>FUNDAÇÃO UNIVERSIDADE FEDERAL DE SERGIPE</t>
  </si>
  <si>
    <t>1416650/1473520</t>
  </si>
  <si>
    <t>Lojas Colombo</t>
  </si>
  <si>
    <t>INST.FED.DE EDUC.,CIENC.E TEC.DE MINAS GERAIS</t>
  </si>
  <si>
    <t>Pregão 90018/2025/5</t>
  </si>
  <si>
    <t>Pregão 90016/2024/4</t>
  </si>
  <si>
    <t>Pregão 90026/2025/19</t>
  </si>
  <si>
    <t>Gastroquip II</t>
  </si>
  <si>
    <t xml:space="preserve">SERVIÇO NACIONAL DE APRENDIZAGEM COMERCIAL-AM </t>
  </si>
  <si>
    <t>Pregão 014/2025/5</t>
  </si>
  <si>
    <t>ESP-UNIVERSIDADE DE SAO PAULO - USP</t>
  </si>
  <si>
    <t>Pregão 90034/2025/7</t>
  </si>
  <si>
    <t>Pregão 009/2025/13</t>
  </si>
  <si>
    <t>SERVICO SOCIAL DO COMERCIO - SESC AR/CE</t>
  </si>
  <si>
    <t>Pregão 001/2025/47</t>
  </si>
  <si>
    <t xml:space="preserve">COMANDO DA AERONÁUTICA - </t>
  </si>
  <si>
    <t>NST.FED.DE EDUC.,CIENC.E TEC BAIANO</t>
  </si>
  <si>
    <t>Pregão 90021/2025/72</t>
  </si>
  <si>
    <t>Pregão 90016/2024/6</t>
  </si>
  <si>
    <t>Pregão 28/2025/86</t>
  </si>
  <si>
    <t>Varimaq equipamentos</t>
  </si>
  <si>
    <t>MINISTERIO DEFESA</t>
  </si>
  <si>
    <t>Pregão 90016/2024/33</t>
  </si>
  <si>
    <t>Dispensa 90004/2025/4</t>
  </si>
  <si>
    <t>Pregão 01/2025/17</t>
  </si>
  <si>
    <t xml:space="preserve">COMPANHIA. DES. DOS VAL. S. FRANCISCO/PARNAÍBA </t>
  </si>
  <si>
    <t>Loja do mecânico</t>
  </si>
  <si>
    <t>Pregão 90016/2024/7</t>
  </si>
  <si>
    <t>COMANDO DA MARINHA</t>
  </si>
  <si>
    <t>Pregão 19/2025/53</t>
  </si>
  <si>
    <t>Pregão 90003/2025/146</t>
  </si>
  <si>
    <t>FUNDACAO UNIVERSIDADE FEDERAL DE SERGIPE</t>
  </si>
  <si>
    <t>Pregão 90079/2024/140</t>
  </si>
  <si>
    <t>Pregão 90016/2024/8</t>
  </si>
  <si>
    <t>Refrisol</t>
  </si>
  <si>
    <t>Pregão 351/2025/7</t>
  </si>
  <si>
    <t xml:space="preserve">Pregão 90016/2024/27 </t>
  </si>
  <si>
    <t>Pregão 12/2024/2</t>
  </si>
  <si>
    <t>INST.FED.DE EDUC.,CIENC.E. TECNOLOGIA DA BAHIA</t>
  </si>
  <si>
    <t>EMPRESA BRASILEIRA DE SERVIÇOS HOSPITALARES</t>
  </si>
  <si>
    <t>Pregão 90045/2024/2</t>
  </si>
  <si>
    <t>MS balanças</t>
  </si>
  <si>
    <t>INST.FED.DE EDUC.,CIENC.E TEC. BAIANO</t>
  </si>
  <si>
    <t>Pregão 90021/2025/3</t>
  </si>
  <si>
    <t>Pregão 90003/2025/27</t>
  </si>
  <si>
    <t xml:space="preserve">INST.FED.DE EDUC.,CIENC.E TEC.DO SUL DE MG </t>
  </si>
  <si>
    <t>Pregão 90526/2024/11</t>
  </si>
  <si>
    <t>Pregão 90016/2024/10</t>
  </si>
  <si>
    <t>Ponto equipamentos</t>
  </si>
  <si>
    <t>INST.FED.DE EDUC.,CIENC.E TEC.S. PERNAMBUCANO</t>
  </si>
  <si>
    <t>Pregão 6/2025/50</t>
  </si>
  <si>
    <t>Casa do pica-pau</t>
  </si>
  <si>
    <t>Freezer</t>
  </si>
  <si>
    <t>Mesa de manipulação</t>
  </si>
  <si>
    <t>u.n.</t>
  </si>
  <si>
    <t>Liquidificador industrial</t>
  </si>
  <si>
    <t>Batedeira industrial</t>
  </si>
  <si>
    <t>Cilindro elétrico</t>
  </si>
  <si>
    <t>Amassadeira para o preparode massas</t>
  </si>
  <si>
    <t>Divisora de coluna de massa alimentícia</t>
  </si>
  <si>
    <t>Modeladora  massa panificação</t>
  </si>
  <si>
    <t>Balança eletrônica 20 kg</t>
  </si>
  <si>
    <t>Armário estufa para panificação</t>
  </si>
  <si>
    <t>Forno industrial para panificação a gás</t>
  </si>
  <si>
    <t>Pregão 90016/2024/11</t>
  </si>
  <si>
    <t xml:space="preserve">EMPRESA BRASILEIRA DE SERVIÇOS HOSPITALARES </t>
  </si>
  <si>
    <t>Pregão 90110/2024/15</t>
  </si>
  <si>
    <t>MAK FRIGO REFRIGERAÇÃO LTDA</t>
  </si>
  <si>
    <t>CAMARGO COMÉRCIO DE EQUIPAMENTOS LTDA</t>
  </si>
  <si>
    <t>LIB POWER</t>
  </si>
  <si>
    <t xml:space="preserve">LIB POWER </t>
  </si>
  <si>
    <t>REFRISOL</t>
  </si>
  <si>
    <t>NORTE REFRIGERAÇÃO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</si>
</sst>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_(* #,##0.00_);_(* \(#,##0.00\);_(* \-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.5"/>
      <color theme="1"/>
      <name val="Verdana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60">
    <xf numFmtId="0" fontId="0" fillId="0" borderId="0" xfId="0"/>
    <xf numFmtId="0" fontId="4" fillId="0" borderId="0" xfId="0" applyFont="1"/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</xf>
    <xf numFmtId="44" fontId="0" fillId="6" borderId="4" xfId="1" applyFont="1" applyFill="1" applyBorder="1" applyAlignment="1" applyProtection="1">
      <alignment horizontal="center" vertical="center"/>
    </xf>
    <xf numFmtId="44" fontId="0" fillId="6" borderId="14" xfId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4" fontId="0" fillId="0" borderId="0" xfId="1" applyFont="1" applyProtection="1">
      <protection locked="0"/>
    </xf>
    <xf numFmtId="0" fontId="0" fillId="0" borderId="0" xfId="0" applyProtection="1">
      <protection locked="0"/>
    </xf>
    <xf numFmtId="44" fontId="0" fillId="0" borderId="0" xfId="1" applyFont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44" fontId="1" fillId="0" borderId="0" xfId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14" fontId="0" fillId="0" borderId="14" xfId="0" applyNumberFormat="1" applyBorder="1" applyAlignment="1" applyProtection="1">
      <alignment horizontal="center" vertical="center"/>
      <protection locked="0"/>
    </xf>
    <xf numFmtId="14" fontId="0" fillId="0" borderId="0" xfId="0" applyNumberForma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44" fontId="0" fillId="0" borderId="0" xfId="1" applyFont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0" xfId="0" applyFill="1" applyBorder="1" applyAlignment="1" applyProtection="1">
      <alignment horizontal="center"/>
      <protection locked="0"/>
    </xf>
    <xf numFmtId="44" fontId="0" fillId="0" borderId="0" xfId="1" applyFont="1" applyBorder="1" applyAlignment="1" applyProtection="1">
      <alignment horizontal="center" vertical="center"/>
      <protection locked="0"/>
    </xf>
    <xf numFmtId="44" fontId="1" fillId="0" borderId="0" xfId="0" applyNumberFormat="1" applyFont="1" applyBorder="1" applyAlignment="1" applyProtection="1">
      <alignment vertical="top"/>
      <protection locked="0"/>
    </xf>
    <xf numFmtId="0" fontId="2" fillId="3" borderId="8" xfId="6" applyBorder="1" applyAlignment="1" applyProtection="1">
      <alignment horizontal="center" vertical="center"/>
      <protection locked="0"/>
    </xf>
    <xf numFmtId="0" fontId="2" fillId="3" borderId="9" xfId="6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1" fillId="7" borderId="27" xfId="0" applyFont="1" applyFill="1" applyBorder="1" applyAlignment="1" applyProtection="1">
      <alignment horizontal="center"/>
      <protection locked="0"/>
    </xf>
    <xf numFmtId="0" fontId="1" fillId="10" borderId="27" xfId="0" applyFont="1" applyFill="1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 vertical="center"/>
      <protection locked="0"/>
    </xf>
    <xf numFmtId="44" fontId="0" fillId="0" borderId="1" xfId="1" applyFont="1" applyBorder="1" applyAlignment="1" applyProtection="1">
      <alignment horizontal="center" vertical="center"/>
      <protection locked="0"/>
    </xf>
    <xf numFmtId="14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44" fontId="0" fillId="10" borderId="31" xfId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44" fontId="0" fillId="10" borderId="30" xfId="1" applyFont="1" applyFill="1" applyBorder="1" applyAlignment="1" applyProtection="1">
      <alignment horizontal="center" vertical="center"/>
      <protection locked="0"/>
    </xf>
    <xf numFmtId="20" fontId="0" fillId="0" borderId="1" xfId="0" applyNumberFormat="1" applyBorder="1" applyAlignment="1" applyProtection="1">
      <alignment horizontal="center" vertical="center"/>
      <protection locked="0"/>
    </xf>
    <xf numFmtId="44" fontId="0" fillId="10" borderId="32" xfId="1" applyFont="1" applyFill="1" applyBorder="1" applyAlignment="1" applyProtection="1">
      <alignment horizontal="center" vertical="center"/>
      <protection locked="0"/>
    </xf>
    <xf numFmtId="44" fontId="0" fillId="0" borderId="3" xfId="1" applyFont="1" applyBorder="1" applyAlignment="1" applyProtection="1">
      <alignment horizontal="center" vertical="center"/>
      <protection locked="0"/>
    </xf>
    <xf numFmtId="0" fontId="0" fillId="0" borderId="21" xfId="0" applyBorder="1" applyProtection="1">
      <protection locked="0"/>
    </xf>
    <xf numFmtId="0" fontId="1" fillId="9" borderId="26" xfId="0" applyFont="1" applyFill="1" applyBorder="1" applyAlignment="1" applyProtection="1">
      <alignment horizontal="center"/>
      <protection locked="0"/>
    </xf>
    <xf numFmtId="0" fontId="0" fillId="6" borderId="15" xfId="0" applyFill="1" applyBorder="1" applyAlignment="1" applyProtection="1">
      <alignment horizontal="center" vertical="center"/>
      <protection locked="0"/>
    </xf>
    <xf numFmtId="0" fontId="1" fillId="9" borderId="15" xfId="0" applyFont="1" applyFill="1" applyBorder="1" applyAlignment="1" applyProtection="1">
      <alignment horizontal="center"/>
      <protection locked="0"/>
    </xf>
    <xf numFmtId="0" fontId="0" fillId="6" borderId="24" xfId="0" applyFill="1" applyBorder="1" applyAlignment="1" applyProtection="1">
      <alignment horizontal="center" vertical="center"/>
      <protection locked="0"/>
    </xf>
    <xf numFmtId="0" fontId="1" fillId="9" borderId="24" xfId="0" applyFont="1" applyFill="1" applyBorder="1" applyAlignment="1" applyProtection="1">
      <alignment horizontal="center"/>
      <protection locked="0"/>
    </xf>
    <xf numFmtId="0" fontId="1" fillId="6" borderId="26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7" borderId="30" xfId="0" applyFill="1" applyBorder="1" applyAlignment="1" applyProtection="1">
      <alignment horizontal="center"/>
    </xf>
    <xf numFmtId="44" fontId="0" fillId="9" borderId="27" xfId="1" applyFont="1" applyFill="1" applyBorder="1" applyAlignment="1" applyProtection="1">
      <alignment horizontal="center"/>
    </xf>
    <xf numFmtId="44" fontId="0" fillId="9" borderId="11" xfId="1" applyFont="1" applyFill="1" applyBorder="1" applyAlignment="1" applyProtection="1">
      <alignment horizontal="center"/>
    </xf>
    <xf numFmtId="44" fontId="0" fillId="9" borderId="28" xfId="1" applyFont="1" applyFill="1" applyBorder="1" applyAlignment="1" applyProtection="1">
      <alignment horizontal="center"/>
    </xf>
    <xf numFmtId="44" fontId="0" fillId="9" borderId="4" xfId="1" applyFont="1" applyFill="1" applyBorder="1" applyAlignment="1" applyProtection="1">
      <alignment horizontal="center"/>
    </xf>
    <xf numFmtId="10" fontId="0" fillId="9" borderId="29" xfId="2" applyNumberFormat="1" applyFont="1" applyFill="1" applyBorder="1" applyAlignment="1" applyProtection="1">
      <alignment horizontal="center"/>
    </xf>
    <xf numFmtId="10" fontId="0" fillId="9" borderId="14" xfId="2" applyNumberFormat="1" applyFont="1" applyFill="1" applyBorder="1" applyAlignment="1" applyProtection="1">
      <alignment horizontal="center"/>
    </xf>
    <xf numFmtId="44" fontId="0" fillId="6" borderId="27" xfId="1" applyFont="1" applyFill="1" applyBorder="1" applyAlignment="1" applyProtection="1">
      <alignment horizontal="center"/>
    </xf>
    <xf numFmtId="44" fontId="0" fillId="6" borderId="28" xfId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1" applyNumberFormat="1" applyFont="1" applyFill="1" applyBorder="1" applyAlignment="1" applyProtection="1">
      <protection locked="0"/>
    </xf>
    <xf numFmtId="44" fontId="0" fillId="0" borderId="36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0" xfId="0" applyFont="1"/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4" fontId="1" fillId="0" borderId="12" xfId="1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44" fontId="1" fillId="0" borderId="17" xfId="1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44" fontId="1" fillId="0" borderId="13" xfId="1" applyFont="1" applyBorder="1" applyAlignment="1" applyProtection="1">
      <alignment horizontal="center" vertical="center"/>
      <protection locked="0"/>
    </xf>
    <xf numFmtId="0" fontId="2" fillId="3" borderId="22" xfId="6" applyBorder="1" applyAlignment="1" applyProtection="1">
      <alignment horizontal="center" vertical="center"/>
      <protection locked="0"/>
    </xf>
    <xf numFmtId="9" fontId="0" fillId="0" borderId="18" xfId="2" applyFont="1" applyBorder="1" applyAlignment="1" applyProtection="1">
      <alignment horizontal="center" vertical="center" wrapText="1"/>
      <protection locked="0"/>
    </xf>
    <xf numFmtId="44" fontId="0" fillId="0" borderId="18" xfId="1" applyNumberFormat="1" applyFont="1" applyBorder="1" applyAlignment="1" applyProtection="1">
      <alignment horizontal="center" vertical="center"/>
      <protection locked="0"/>
    </xf>
    <xf numFmtId="0" fontId="0" fillId="7" borderId="19" xfId="0" applyFill="1" applyBorder="1" applyAlignment="1" applyProtection="1">
      <alignment horizontal="center"/>
    </xf>
    <xf numFmtId="0" fontId="1" fillId="7" borderId="37" xfId="0" applyFont="1" applyFill="1" applyBorder="1" applyAlignment="1" applyProtection="1">
      <alignment horizontal="center"/>
      <protection locked="0"/>
    </xf>
    <xf numFmtId="0" fontId="0" fillId="7" borderId="21" xfId="0" applyFill="1" applyBorder="1" applyAlignment="1" applyProtection="1">
      <alignment horizontal="center"/>
    </xf>
    <xf numFmtId="0" fontId="6" fillId="5" borderId="24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protection locked="0"/>
    </xf>
    <xf numFmtId="0" fontId="1" fillId="10" borderId="26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44" fontId="1" fillId="0" borderId="0" xfId="1" applyFont="1" applyFill="1" applyBorder="1" applyAlignment="1" applyProtection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44" fontId="1" fillId="0" borderId="0" xfId="1" applyFont="1" applyFill="1" applyBorder="1" applyAlignment="1" applyProtection="1">
      <protection locked="0"/>
    </xf>
    <xf numFmtId="2" fontId="1" fillId="5" borderId="4" xfId="1" applyNumberFormat="1" applyFont="1" applyFill="1" applyBorder="1" applyAlignment="1" applyProtection="1">
      <protection locked="0"/>
    </xf>
    <xf numFmtId="0" fontId="0" fillId="7" borderId="31" xfId="0" applyFill="1" applyBorder="1" applyAlignment="1" applyProtection="1">
      <alignment horizontal="center"/>
    </xf>
    <xf numFmtId="0" fontId="0" fillId="4" borderId="37" xfId="0" applyFill="1" applyBorder="1" applyAlignment="1" applyProtection="1">
      <alignment vertical="top"/>
      <protection locked="0"/>
    </xf>
    <xf numFmtId="0" fontId="0" fillId="4" borderId="0" xfId="0" applyFill="1" applyBorder="1" applyAlignment="1" applyProtection="1">
      <alignment vertical="top"/>
      <protection locked="0"/>
    </xf>
    <xf numFmtId="0" fontId="0" fillId="4" borderId="7" xfId="0" applyFill="1" applyBorder="1" applyAlignment="1" applyProtection="1">
      <alignment vertical="top"/>
      <protection locked="0"/>
    </xf>
    <xf numFmtId="0" fontId="0" fillId="4" borderId="19" xfId="0" applyFill="1" applyBorder="1" applyAlignment="1" applyProtection="1">
      <alignment vertical="top"/>
      <protection locked="0"/>
    </xf>
    <xf numFmtId="0" fontId="0" fillId="4" borderId="16" xfId="0" applyFill="1" applyBorder="1" applyAlignment="1" applyProtection="1">
      <alignment vertical="top"/>
      <protection locked="0"/>
    </xf>
    <xf numFmtId="0" fontId="0" fillId="4" borderId="20" xfId="0" applyFill="1" applyBorder="1" applyAlignment="1" applyProtection="1">
      <alignment vertical="top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44" fontId="7" fillId="5" borderId="20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wrapText="1"/>
    </xf>
    <xf numFmtId="9" fontId="0" fillId="0" borderId="0" xfId="0" applyNumberFormat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44" fontId="1" fillId="0" borderId="17" xfId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0" xfId="0" applyFont="1" applyAlignment="1">
      <alignment wrapText="1"/>
    </xf>
    <xf numFmtId="0" fontId="0" fillId="0" borderId="0" xfId="0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/>
    </xf>
    <xf numFmtId="0" fontId="8" fillId="4" borderId="41" xfId="0" applyNumberFormat="1" applyFont="1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0" fillId="0" borderId="10" xfId="6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1" fillId="0" borderId="33" xfId="0" applyFont="1" applyFill="1" applyBorder="1" applyAlignment="1" applyProtection="1">
      <alignment horizontal="center"/>
      <protection locked="0"/>
    </xf>
    <xf numFmtId="0" fontId="1" fillId="0" borderId="34" xfId="0" applyFont="1" applyFill="1" applyBorder="1" applyAlignment="1" applyProtection="1">
      <alignment horizontal="center"/>
      <protection locked="0"/>
    </xf>
    <xf numFmtId="0" fontId="1" fillId="2" borderId="8" xfId="5" applyFont="1" applyBorder="1" applyAlignment="1" applyProtection="1">
      <alignment horizontal="center" vertical="center"/>
      <protection locked="0"/>
    </xf>
    <xf numFmtId="0" fontId="1" fillId="2" borderId="9" xfId="5" applyFont="1" applyBorder="1" applyAlignment="1" applyProtection="1">
      <alignment horizontal="center" vertical="center"/>
      <protection locked="0"/>
    </xf>
    <xf numFmtId="0" fontId="1" fillId="2" borderId="10" xfId="5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8" borderId="8" xfId="0" applyFont="1" applyFill="1" applyBorder="1" applyAlignment="1" applyProtection="1">
      <alignment horizontal="center"/>
      <protection locked="0"/>
    </xf>
    <xf numFmtId="0" fontId="1" fillId="8" borderId="10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44" fontId="7" fillId="5" borderId="35" xfId="0" applyNumberFormat="1" applyFont="1" applyFill="1" applyBorder="1" applyAlignment="1" applyProtection="1">
      <alignment horizontal="center" vertical="center"/>
    </xf>
    <xf numFmtId="44" fontId="7" fillId="5" borderId="7" xfId="0" applyNumberFormat="1" applyFont="1" applyFill="1" applyBorder="1" applyAlignment="1" applyProtection="1">
      <alignment horizontal="center" vertical="center"/>
    </xf>
    <xf numFmtId="44" fontId="7" fillId="5" borderId="19" xfId="5" applyNumberFormat="1" applyFont="1" applyFill="1" applyBorder="1" applyAlignment="1" applyProtection="1">
      <alignment horizontal="right"/>
      <protection locked="0"/>
    </xf>
    <xf numFmtId="44" fontId="7" fillId="5" borderId="16" xfId="5" applyNumberFormat="1" applyFont="1" applyFill="1" applyBorder="1" applyAlignment="1" applyProtection="1">
      <alignment horizontal="right"/>
      <protection locked="0"/>
    </xf>
    <xf numFmtId="44" fontId="7" fillId="5" borderId="33" xfId="5" applyNumberFormat="1" applyFont="1" applyFill="1" applyBorder="1" applyAlignment="1" applyProtection="1">
      <alignment horizontal="right" vertical="center"/>
      <protection locked="0"/>
    </xf>
    <xf numFmtId="44" fontId="7" fillId="5" borderId="34" xfId="5" applyNumberFormat="1" applyFont="1" applyFill="1" applyBorder="1" applyAlignment="1" applyProtection="1">
      <alignment horizontal="right" vertical="center"/>
      <protection locked="0"/>
    </xf>
    <xf numFmtId="44" fontId="7" fillId="5" borderId="21" xfId="5" applyNumberFormat="1" applyFont="1" applyFill="1" applyBorder="1" applyAlignment="1" applyProtection="1">
      <alignment horizontal="right" vertical="center"/>
      <protection locked="0"/>
    </xf>
    <xf numFmtId="44" fontId="7" fillId="5" borderId="0" xfId="5" applyNumberFormat="1" applyFont="1" applyFill="1" applyBorder="1" applyAlignment="1" applyProtection="1">
      <alignment horizontal="right" vertical="center"/>
      <protection locked="0"/>
    </xf>
    <xf numFmtId="0" fontId="7" fillId="5" borderId="33" xfId="0" applyFont="1" applyFill="1" applyBorder="1" applyAlignment="1" applyProtection="1">
      <alignment horizontal="right" vertical="center"/>
      <protection locked="0"/>
    </xf>
    <xf numFmtId="0" fontId="7" fillId="5" borderId="34" xfId="0" applyFont="1" applyFill="1" applyBorder="1" applyAlignment="1" applyProtection="1">
      <alignment horizontal="right" vertical="center"/>
      <protection locked="0"/>
    </xf>
    <xf numFmtId="0" fontId="7" fillId="5" borderId="21" xfId="0" applyFont="1" applyFill="1" applyBorder="1" applyAlignment="1" applyProtection="1">
      <alignment horizontal="right" vertical="center"/>
      <protection locked="0"/>
    </xf>
    <xf numFmtId="0" fontId="7" fillId="5" borderId="0" xfId="0" applyFont="1" applyFill="1" applyBorder="1" applyAlignment="1" applyProtection="1">
      <alignment horizontal="right" vertical="center"/>
      <protection locked="0"/>
    </xf>
    <xf numFmtId="0" fontId="7" fillId="5" borderId="19" xfId="0" applyFont="1" applyFill="1" applyBorder="1" applyAlignment="1" applyProtection="1">
      <alignment horizontal="right" vertical="center"/>
      <protection locked="0"/>
    </xf>
    <xf numFmtId="0" fontId="7" fillId="5" borderId="16" xfId="0" applyFont="1" applyFill="1" applyBorder="1" applyAlignment="1" applyProtection="1">
      <alignment horizontal="right" vertical="center"/>
      <protection locked="0"/>
    </xf>
    <xf numFmtId="44" fontId="7" fillId="5" borderId="35" xfId="1" applyFont="1" applyFill="1" applyBorder="1" applyAlignment="1" applyProtection="1">
      <alignment horizontal="center" vertical="center"/>
    </xf>
    <xf numFmtId="44" fontId="7" fillId="5" borderId="7" xfId="1" applyFont="1" applyFill="1" applyBorder="1" applyAlignment="1" applyProtection="1">
      <alignment horizontal="center" vertical="center"/>
    </xf>
    <xf numFmtId="44" fontId="7" fillId="5" borderId="20" xfId="1" applyFont="1" applyFill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</cellXfs>
  <cellStyles count="10">
    <cellStyle name="20% - Ênfase1" xfId="5" builtinId="30"/>
    <cellStyle name="60% - Ênfase1" xfId="6" builtinId="32"/>
    <cellStyle name="Moeda" xfId="1" builtinId="4"/>
    <cellStyle name="Moeda 2" xfId="8"/>
    <cellStyle name="Normal" xfId="0" builtinId="0"/>
    <cellStyle name="Normal 2" xfId="3"/>
    <cellStyle name="Normal 2 2" xfId="7"/>
    <cellStyle name="Porcentagem" xfId="2" builtinId="5"/>
    <cellStyle name="Porcentagem 2" xfId="9"/>
    <cellStyle name="Vírgula 2" xfId="4"/>
  </cellStyles>
  <dxfs count="18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trlProps/ctrlProp1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2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3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4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5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6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7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8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9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10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11.xml><?xml version="1.0" encoding="utf-8"?>
<formControlPr xmlns="http://schemas.microsoft.com/office/spreadsheetml/2009/9/main" objectType="Drop" dropStyle="combo" dx="22" fmlaLink="$P$35" fmlaRange="$A$39:$A$40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15</xdr:col>
          <xdr:colOff>2895600</xdr:colOff>
          <xdr:row>35</xdr:row>
          <xdr:rowOff>0</xdr:rowOff>
        </xdr:to>
        <xdr:sp macro="" textlink="">
          <xdr:nvSpPr>
            <xdr:cNvPr id="30721" name="Drop Down 1" descr="ESCOLHA A METODOLOGIA DE EXCLUSÃO A SER ADOTADA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9081297" y="3736521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1895475</xdr:colOff>
          <xdr:row>34</xdr:row>
          <xdr:rowOff>76200</xdr:rowOff>
        </xdr:from>
        <xdr:to>
          <xdr:col>12</xdr:col>
          <xdr:colOff>0</xdr:colOff>
          <xdr:row>35</xdr:row>
          <xdr:rowOff>38100</xdr:rowOff>
        </xdr:to>
        <xdr:sp macro="" textlink="">
          <xdr:nvSpPr>
            <xdr:cNvPr id="30732" name="ComboBox1" hidden="1">
              <a:extLst>
                <a:ext uri="{63B3BB69-23CF-44E3-9099-C40C66FF867C}">
                  <a14:compatExt spid="_x0000_s30732"/>
                </a:ext>
                <a:ext uri="{FF2B5EF4-FFF2-40B4-BE49-F238E27FC236}">
                  <a16:creationId xmlns:a16="http://schemas.microsoft.com/office/drawing/2014/main" id="{00000000-0008-0000-0100-00000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2</xdr:col>
      <xdr:colOff>335290</xdr:colOff>
      <xdr:row>0</xdr:row>
      <xdr:rowOff>369570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44990" cy="35052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489438</xdr:colOff>
      <xdr:row>0</xdr:row>
      <xdr:rowOff>47625</xdr:rowOff>
    </xdr:from>
    <xdr:to>
      <xdr:col>5</xdr:col>
      <xdr:colOff>19610</xdr:colOff>
      <xdr:row>0</xdr:row>
      <xdr:rowOff>360045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028092" y="47625"/>
          <a:ext cx="4351287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15</xdr:col>
          <xdr:colOff>2886075</xdr:colOff>
          <xdr:row>35</xdr:row>
          <xdr:rowOff>0</xdr:rowOff>
        </xdr:to>
        <xdr:sp macro="" textlink="">
          <xdr:nvSpPr>
            <xdr:cNvPr id="32769" name="Drop Down 1" descr="ESCOLHA A METODOLOGIA DE EXCLUSÃO A SER ADOTADA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2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34</xdr:row>
          <xdr:rowOff>104775</xdr:rowOff>
        </xdr:from>
        <xdr:to>
          <xdr:col>12</xdr:col>
          <xdr:colOff>9525</xdr:colOff>
          <xdr:row>35</xdr:row>
          <xdr:rowOff>57150</xdr:rowOff>
        </xdr:to>
        <xdr:sp macro="" textlink="">
          <xdr:nvSpPr>
            <xdr:cNvPr id="32770" name="ComboBox1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02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2</xdr:col>
      <xdr:colOff>335290</xdr:colOff>
      <xdr:row>0</xdr:row>
      <xdr:rowOff>369570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44990" cy="35052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15</xdr:col>
          <xdr:colOff>2886075</xdr:colOff>
          <xdr:row>35</xdr:row>
          <xdr:rowOff>0</xdr:rowOff>
        </xdr:to>
        <xdr:sp macro="" textlink="">
          <xdr:nvSpPr>
            <xdr:cNvPr id="33793" name="Drop Down 1" descr="ESCOLHA A METODOLOGIA DE EXCLUSÃO A SER ADOTADA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34</xdr:row>
          <xdr:rowOff>104775</xdr:rowOff>
        </xdr:from>
        <xdr:to>
          <xdr:col>12</xdr:col>
          <xdr:colOff>9525</xdr:colOff>
          <xdr:row>35</xdr:row>
          <xdr:rowOff>57150</xdr:rowOff>
        </xdr:to>
        <xdr:sp macro="" textlink="">
          <xdr:nvSpPr>
            <xdr:cNvPr id="33794" name="ComboBox1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3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2</xdr:col>
      <xdr:colOff>335291</xdr:colOff>
      <xdr:row>0</xdr:row>
      <xdr:rowOff>369570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44990" cy="35052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16</xdr:col>
          <xdr:colOff>2724150</xdr:colOff>
          <xdr:row>35</xdr:row>
          <xdr:rowOff>85725</xdr:rowOff>
        </xdr:to>
        <xdr:sp macro="" textlink="">
          <xdr:nvSpPr>
            <xdr:cNvPr id="35841" name="Drop Down 1" descr="ESCOLHA A METODOLOGIA DE EXCLUSÃO A SER ADOTADA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19051</xdr:rowOff>
    </xdr:from>
    <xdr:to>
      <xdr:col>2</xdr:col>
      <xdr:colOff>313764</xdr:colOff>
      <xdr:row>0</xdr:row>
      <xdr:rowOff>392207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9051"/>
          <a:ext cx="1725705" cy="37315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34</xdr:row>
          <xdr:rowOff>95250</xdr:rowOff>
        </xdr:from>
        <xdr:to>
          <xdr:col>12</xdr:col>
          <xdr:colOff>19050</xdr:colOff>
          <xdr:row>35</xdr:row>
          <xdr:rowOff>57150</xdr:rowOff>
        </xdr:to>
        <xdr:sp macro="" textlink="">
          <xdr:nvSpPr>
            <xdr:cNvPr id="35846" name="ComboBox1" hidden="1">
              <a:extLst>
                <a:ext uri="{63B3BB69-23CF-44E3-9099-C40C66FF867C}">
                  <a14:compatExt spid="_x0000_s35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16</xdr:col>
          <xdr:colOff>2724150</xdr:colOff>
          <xdr:row>35</xdr:row>
          <xdr:rowOff>85725</xdr:rowOff>
        </xdr:to>
        <xdr:sp macro="" textlink="">
          <xdr:nvSpPr>
            <xdr:cNvPr id="36865" name="Drop Down 1" descr="ESCOLHA A METODOLOGIA DE EXCLUSÃO A SER ADOTADA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2</xdr:col>
      <xdr:colOff>314325</xdr:colOff>
      <xdr:row>0</xdr:row>
      <xdr:rowOff>400050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24025" cy="3810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34</xdr:row>
          <xdr:rowOff>133350</xdr:rowOff>
        </xdr:from>
        <xdr:to>
          <xdr:col>11</xdr:col>
          <xdr:colOff>2676525</xdr:colOff>
          <xdr:row>35</xdr:row>
          <xdr:rowOff>95250</xdr:rowOff>
        </xdr:to>
        <xdr:sp macro="" textlink="">
          <xdr:nvSpPr>
            <xdr:cNvPr id="36866" name="ComboBox1" hidden="1">
              <a:extLst>
                <a:ext uri="{63B3BB69-23CF-44E3-9099-C40C66FF867C}">
                  <a14:compatExt spid="_x0000_s36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16</xdr:col>
          <xdr:colOff>2724150</xdr:colOff>
          <xdr:row>35</xdr:row>
          <xdr:rowOff>85725</xdr:rowOff>
        </xdr:to>
        <xdr:sp macro="" textlink="">
          <xdr:nvSpPr>
            <xdr:cNvPr id="37889" name="Drop Down 1" descr="ESCOLHA A METODOLOGIA DE EXCLUSÃO A SER ADOTADA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2</xdr:col>
      <xdr:colOff>314325</xdr:colOff>
      <xdr:row>0</xdr:row>
      <xdr:rowOff>438150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24025" cy="419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34</xdr:row>
          <xdr:rowOff>95250</xdr:rowOff>
        </xdr:from>
        <xdr:to>
          <xdr:col>11</xdr:col>
          <xdr:colOff>2695575</xdr:colOff>
          <xdr:row>35</xdr:row>
          <xdr:rowOff>66675</xdr:rowOff>
        </xdr:to>
        <xdr:sp macro="" textlink="">
          <xdr:nvSpPr>
            <xdr:cNvPr id="37890" name="ComboBox1" hidden="1">
              <a:extLst>
                <a:ext uri="{63B3BB69-23CF-44E3-9099-C40C66FF867C}">
                  <a14:compatExt spid="_x0000_s37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16</xdr:col>
          <xdr:colOff>2724150</xdr:colOff>
          <xdr:row>35</xdr:row>
          <xdr:rowOff>85725</xdr:rowOff>
        </xdr:to>
        <xdr:sp macro="" textlink="">
          <xdr:nvSpPr>
            <xdr:cNvPr id="38913" name="Drop Down 1" descr="ESCOLHA A METODOLOGIA DE EXCLUSÃO A SER ADOTADA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2</xdr:col>
      <xdr:colOff>304800</xdr:colOff>
      <xdr:row>0</xdr:row>
      <xdr:rowOff>457200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14500" cy="4381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34</xdr:row>
          <xdr:rowOff>76200</xdr:rowOff>
        </xdr:from>
        <xdr:to>
          <xdr:col>11</xdr:col>
          <xdr:colOff>2686050</xdr:colOff>
          <xdr:row>35</xdr:row>
          <xdr:rowOff>38100</xdr:rowOff>
        </xdr:to>
        <xdr:sp macro="" textlink="">
          <xdr:nvSpPr>
            <xdr:cNvPr id="38914" name="ComboBox1" hidden="1">
              <a:extLst>
                <a:ext uri="{63B3BB69-23CF-44E3-9099-C40C66FF867C}">
                  <a14:compatExt spid="_x0000_s38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18</xdr:col>
          <xdr:colOff>1181100</xdr:colOff>
          <xdr:row>35</xdr:row>
          <xdr:rowOff>171450</xdr:rowOff>
        </xdr:to>
        <xdr:sp macro="" textlink="">
          <xdr:nvSpPr>
            <xdr:cNvPr id="40961" name="Drop Down 1" descr="ESCOLHA A METODOLOGIA DE EXCLUSÃO A SER ADOTADA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984171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2</xdr:col>
      <xdr:colOff>323850</xdr:colOff>
      <xdr:row>0</xdr:row>
      <xdr:rowOff>438150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33550" cy="419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34</xdr:row>
          <xdr:rowOff>114300</xdr:rowOff>
        </xdr:from>
        <xdr:to>
          <xdr:col>12</xdr:col>
          <xdr:colOff>0</xdr:colOff>
          <xdr:row>35</xdr:row>
          <xdr:rowOff>76200</xdr:rowOff>
        </xdr:to>
        <xdr:sp macro="" textlink="">
          <xdr:nvSpPr>
            <xdr:cNvPr id="40962" name="ComboBox1" hidden="1">
              <a:extLst>
                <a:ext uri="{63B3BB69-23CF-44E3-9099-C40C66FF867C}">
                  <a14:compatExt spid="_x0000_s40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20</xdr:col>
          <xdr:colOff>1762125</xdr:colOff>
          <xdr:row>36</xdr:row>
          <xdr:rowOff>66675</xdr:rowOff>
        </xdr:to>
        <xdr:sp macro="" textlink="">
          <xdr:nvSpPr>
            <xdr:cNvPr id="41985" name="Drop Down 1" descr="ESCOLHA A METODOLOGIA DE EXCLUSÃO A SER ADOTADA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2</xdr:col>
      <xdr:colOff>314325</xdr:colOff>
      <xdr:row>0</xdr:row>
      <xdr:rowOff>476250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24025" cy="4572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34</xdr:row>
          <xdr:rowOff>95250</xdr:rowOff>
        </xdr:from>
        <xdr:to>
          <xdr:col>11</xdr:col>
          <xdr:colOff>2686050</xdr:colOff>
          <xdr:row>35</xdr:row>
          <xdr:rowOff>57150</xdr:rowOff>
        </xdr:to>
        <xdr:sp macro="" textlink="">
          <xdr:nvSpPr>
            <xdr:cNvPr id="41986" name="ComboBox1" hidden="1">
              <a:extLst>
                <a:ext uri="{63B3BB69-23CF-44E3-9099-C40C66FF867C}">
                  <a14:compatExt spid="_x0000_s41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20</xdr:col>
          <xdr:colOff>1762125</xdr:colOff>
          <xdr:row>36</xdr:row>
          <xdr:rowOff>66675</xdr:rowOff>
        </xdr:to>
        <xdr:sp macro="" textlink="">
          <xdr:nvSpPr>
            <xdr:cNvPr id="43009" name="Drop Down 1" descr="ESCOLHA A METODOLOGIA DE EXCLUSÃO A SER ADOTADA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2</xdr:col>
      <xdr:colOff>323850</xdr:colOff>
      <xdr:row>0</xdr:row>
      <xdr:rowOff>438150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33550" cy="419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34</xdr:row>
          <xdr:rowOff>104775</xdr:rowOff>
        </xdr:from>
        <xdr:to>
          <xdr:col>11</xdr:col>
          <xdr:colOff>2676525</xdr:colOff>
          <xdr:row>35</xdr:row>
          <xdr:rowOff>66675</xdr:rowOff>
        </xdr:to>
        <xdr:sp macro="" textlink="">
          <xdr:nvSpPr>
            <xdr:cNvPr id="43010" name="ComboBox1" hidden="1">
              <a:extLst>
                <a:ext uri="{63B3BB69-23CF-44E3-9099-C40C66FF867C}">
                  <a14:compatExt spid="_x0000_s43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20</xdr:col>
          <xdr:colOff>1762125</xdr:colOff>
          <xdr:row>36</xdr:row>
          <xdr:rowOff>66675</xdr:rowOff>
        </xdr:to>
        <xdr:sp macro="" textlink="">
          <xdr:nvSpPr>
            <xdr:cNvPr id="44033" name="Drop Down 1" descr="ESCOLHA A METODOLOGIA DE EXCLUSÃO A SER ADOTADA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2</xdr:col>
      <xdr:colOff>276225</xdr:colOff>
      <xdr:row>0</xdr:row>
      <xdr:rowOff>457200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685925" cy="4381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34</xdr:row>
          <xdr:rowOff>38100</xdr:rowOff>
        </xdr:from>
        <xdr:to>
          <xdr:col>11</xdr:col>
          <xdr:colOff>2695575</xdr:colOff>
          <xdr:row>35</xdr:row>
          <xdr:rowOff>0</xdr:rowOff>
        </xdr:to>
        <xdr:sp macro="" textlink="">
          <xdr:nvSpPr>
            <xdr:cNvPr id="44034" name="ComboBox1" hidden="1">
              <a:extLst>
                <a:ext uri="{63B3BB69-23CF-44E3-9099-C40C66FF867C}">
                  <a14:compatExt spid="_x0000_s44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JAILTON\PROJETEC\PONTAL%20-%20Parcelamento\Dado%20de%20Entrada\Projeto_Executivo\AreaNorte\Volume%201%20-%20Relatorio%20Final%20de%20Projeto\Quantitativos\Orcamento%20PN%20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es SPO"/>
      <sheetName val="RESUMO-GERAL"/>
      <sheetName val="RESUMO-M20"/>
      <sheetName val="RESUMO-M23"/>
      <sheetName val="MANCHA 20- NORTE"/>
      <sheetName val="MANCHA 23- NORT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id="1" name="Tabela1" displayName="Tabela1" ref="A10:D25" totalsRowShown="0">
  <autoFilter ref="A10:D25"/>
  <tableColumns count="4">
    <tableColumn id="1" name="Etapa" dataDxfId="17"/>
    <tableColumn id="2" name="Células Referenciadas"/>
    <tableColumn id="3" name="Descrição" dataDxfId="16"/>
    <tableColumn id="4" name="Coluna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.xml"/><Relationship Id="rId5" Type="http://schemas.openxmlformats.org/officeDocument/2006/relationships/image" Target="../media/image3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image" Target="../media/image4.emf"/><Relationship Id="rId4" Type="http://schemas.openxmlformats.org/officeDocument/2006/relationships/control" Target="../activeX/activeX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4.xml"/><Relationship Id="rId5" Type="http://schemas.openxmlformats.org/officeDocument/2006/relationships/image" Target="../media/image5.emf"/><Relationship Id="rId4" Type="http://schemas.openxmlformats.org/officeDocument/2006/relationships/control" Target="../activeX/activeX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5.xml"/><Relationship Id="rId5" Type="http://schemas.openxmlformats.org/officeDocument/2006/relationships/image" Target="../media/image6.emf"/><Relationship Id="rId4" Type="http://schemas.openxmlformats.org/officeDocument/2006/relationships/control" Target="../activeX/activeX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5" Type="http://schemas.openxmlformats.org/officeDocument/2006/relationships/ctrlProp" Target="../ctrlProps/ctrlProp6.xml"/><Relationship Id="rId4" Type="http://schemas.openxmlformats.org/officeDocument/2006/relationships/image" Target="../media/image7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5" Type="http://schemas.openxmlformats.org/officeDocument/2006/relationships/ctrlProp" Target="../ctrlProps/ctrlProp7.xml"/><Relationship Id="rId4" Type="http://schemas.openxmlformats.org/officeDocument/2006/relationships/image" Target="../media/image5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5" Type="http://schemas.openxmlformats.org/officeDocument/2006/relationships/ctrlProp" Target="../ctrlProps/ctrlProp8.xml"/><Relationship Id="rId4" Type="http://schemas.openxmlformats.org/officeDocument/2006/relationships/image" Target="../media/image8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9.xml"/><Relationship Id="rId5" Type="http://schemas.openxmlformats.org/officeDocument/2006/relationships/image" Target="../media/image6.emf"/><Relationship Id="rId4" Type="http://schemas.openxmlformats.org/officeDocument/2006/relationships/control" Target="../activeX/activeX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5" Type="http://schemas.openxmlformats.org/officeDocument/2006/relationships/ctrlProp" Target="../ctrlProps/ctrlProp10.xml"/><Relationship Id="rId4" Type="http://schemas.openxmlformats.org/officeDocument/2006/relationships/image" Target="../media/image8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1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5" Type="http://schemas.openxmlformats.org/officeDocument/2006/relationships/ctrlProp" Target="../ctrlProps/ctrlProp11.xml"/><Relationship Id="rId4" Type="http://schemas.openxmlformats.org/officeDocument/2006/relationships/image" Target="../media/image8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">
    <tabColor theme="5"/>
  </sheetPr>
  <dimension ref="A1:D40"/>
  <sheetViews>
    <sheetView showGridLines="0" workbookViewId="0">
      <selection activeCell="C24" sqref="C24"/>
    </sheetView>
  </sheetViews>
  <sheetFormatPr defaultRowHeight="15" x14ac:dyDescent="0.25"/>
  <cols>
    <col min="2" max="2" width="21.7109375" customWidth="1"/>
    <col min="3" max="3" width="153.42578125" customWidth="1"/>
  </cols>
  <sheetData>
    <row r="1" spans="1:4" x14ac:dyDescent="0.25">
      <c r="A1" s="1" t="s">
        <v>31</v>
      </c>
    </row>
    <row r="2" spans="1:4" x14ac:dyDescent="0.25">
      <c r="A2" s="1"/>
    </row>
    <row r="3" spans="1:4" x14ac:dyDescent="0.25">
      <c r="A3" s="1" t="s">
        <v>54</v>
      </c>
    </row>
    <row r="4" spans="1:4" x14ac:dyDescent="0.25">
      <c r="A4" s="1"/>
    </row>
    <row r="5" spans="1:4" x14ac:dyDescent="0.25">
      <c r="A5" s="1" t="s">
        <v>50</v>
      </c>
    </row>
    <row r="6" spans="1:4" x14ac:dyDescent="0.25">
      <c r="A6" s="1"/>
    </row>
    <row r="7" spans="1:4" x14ac:dyDescent="0.25">
      <c r="A7" s="1" t="s">
        <v>32</v>
      </c>
    </row>
    <row r="9" spans="1:4" x14ac:dyDescent="0.25">
      <c r="A9" s="62" t="s">
        <v>52</v>
      </c>
    </row>
    <row r="10" spans="1:4" x14ac:dyDescent="0.25">
      <c r="A10" t="s">
        <v>35</v>
      </c>
      <c r="B10" t="s">
        <v>33</v>
      </c>
      <c r="C10" s="61" t="s">
        <v>34</v>
      </c>
      <c r="D10" t="s">
        <v>60</v>
      </c>
    </row>
    <row r="11" spans="1:4" x14ac:dyDescent="0.25">
      <c r="A11" s="60">
        <v>1</v>
      </c>
      <c r="B11" t="s">
        <v>36</v>
      </c>
      <c r="C11" s="61" t="s">
        <v>42</v>
      </c>
    </row>
    <row r="12" spans="1:4" x14ac:dyDescent="0.25">
      <c r="A12" s="60">
        <v>2</v>
      </c>
      <c r="B12" t="s">
        <v>37</v>
      </c>
      <c r="C12" s="61" t="s">
        <v>41</v>
      </c>
    </row>
    <row r="13" spans="1:4" x14ac:dyDescent="0.25">
      <c r="A13" s="60">
        <v>3</v>
      </c>
      <c r="B13" t="s">
        <v>38</v>
      </c>
      <c r="C13" s="61" t="s">
        <v>40</v>
      </c>
    </row>
    <row r="14" spans="1:4" x14ac:dyDescent="0.25">
      <c r="A14" s="60">
        <v>4</v>
      </c>
      <c r="B14" t="s">
        <v>61</v>
      </c>
      <c r="C14" s="61" t="s">
        <v>43</v>
      </c>
    </row>
    <row r="15" spans="1:4" x14ac:dyDescent="0.25">
      <c r="A15" s="60">
        <v>5</v>
      </c>
      <c r="B15" t="s">
        <v>63</v>
      </c>
      <c r="C15" s="61" t="s">
        <v>51</v>
      </c>
    </row>
    <row r="16" spans="1:4" x14ac:dyDescent="0.25">
      <c r="A16" s="60">
        <v>6</v>
      </c>
      <c r="B16" t="s">
        <v>62</v>
      </c>
      <c r="C16" s="61" t="s">
        <v>48</v>
      </c>
    </row>
    <row r="17" spans="1:3" x14ac:dyDescent="0.25">
      <c r="A17" s="60">
        <v>7</v>
      </c>
      <c r="B17" t="s">
        <v>64</v>
      </c>
      <c r="C17" s="61" t="s">
        <v>44</v>
      </c>
    </row>
    <row r="18" spans="1:3" ht="30" x14ac:dyDescent="0.25">
      <c r="A18" s="98">
        <v>8</v>
      </c>
      <c r="B18" s="99" t="s">
        <v>72</v>
      </c>
      <c r="C18" s="100" t="s">
        <v>65</v>
      </c>
    </row>
    <row r="19" spans="1:3" ht="30" x14ac:dyDescent="0.25">
      <c r="A19" s="60">
        <v>9</v>
      </c>
      <c r="B19" t="s">
        <v>71</v>
      </c>
      <c r="C19" s="61" t="s">
        <v>66</v>
      </c>
    </row>
    <row r="20" spans="1:3" x14ac:dyDescent="0.25">
      <c r="A20" s="60">
        <v>10</v>
      </c>
      <c r="B20" t="s">
        <v>69</v>
      </c>
      <c r="C20" s="61" t="s">
        <v>67</v>
      </c>
    </row>
    <row r="21" spans="1:3" x14ac:dyDescent="0.25">
      <c r="A21" s="60">
        <v>11</v>
      </c>
      <c r="B21" t="s">
        <v>70</v>
      </c>
      <c r="C21" s="61" t="s">
        <v>68</v>
      </c>
    </row>
    <row r="22" spans="1:3" ht="30" x14ac:dyDescent="0.25">
      <c r="A22" s="98">
        <v>12</v>
      </c>
      <c r="B22" s="99" t="s">
        <v>76</v>
      </c>
      <c r="C22" s="100" t="s">
        <v>73</v>
      </c>
    </row>
    <row r="23" spans="1:3" x14ac:dyDescent="0.25">
      <c r="A23" s="98">
        <v>13</v>
      </c>
      <c r="B23" s="99" t="s">
        <v>74</v>
      </c>
      <c r="C23" s="100" t="s">
        <v>75</v>
      </c>
    </row>
    <row r="24" spans="1:3" ht="45" x14ac:dyDescent="0.25">
      <c r="A24" s="98">
        <v>14</v>
      </c>
      <c r="B24" s="99"/>
      <c r="C24" s="100" t="s">
        <v>77</v>
      </c>
    </row>
    <row r="25" spans="1:3" x14ac:dyDescent="0.25">
      <c r="A25" s="60">
        <v>15</v>
      </c>
      <c r="C25" s="61" t="s">
        <v>55</v>
      </c>
    </row>
    <row r="26" spans="1:3" x14ac:dyDescent="0.25">
      <c r="A26" s="60"/>
    </row>
    <row r="27" spans="1:3" x14ac:dyDescent="0.25">
      <c r="A27" s="60" t="s">
        <v>53</v>
      </c>
    </row>
    <row r="28" spans="1:3" x14ac:dyDescent="0.25">
      <c r="A28" s="60"/>
    </row>
    <row r="29" spans="1:3" x14ac:dyDescent="0.25">
      <c r="A29" s="60"/>
    </row>
    <row r="30" spans="1:3" x14ac:dyDescent="0.25">
      <c r="A30" s="60"/>
    </row>
    <row r="31" spans="1:3" x14ac:dyDescent="0.25">
      <c r="A31" s="60"/>
    </row>
    <row r="32" spans="1:3" x14ac:dyDescent="0.25">
      <c r="A32" s="60"/>
    </row>
    <row r="33" spans="1:1" x14ac:dyDescent="0.25">
      <c r="A33" s="60"/>
    </row>
    <row r="34" spans="1:1" x14ac:dyDescent="0.25">
      <c r="A34" s="60"/>
    </row>
    <row r="35" spans="1:1" x14ac:dyDescent="0.25">
      <c r="A35" s="60"/>
    </row>
    <row r="36" spans="1:1" x14ac:dyDescent="0.25">
      <c r="A36" s="60"/>
    </row>
    <row r="37" spans="1:1" x14ac:dyDescent="0.25">
      <c r="A37" s="60"/>
    </row>
    <row r="38" spans="1:1" x14ac:dyDescent="0.25">
      <c r="A38" s="60"/>
    </row>
    <row r="39" spans="1:1" x14ac:dyDescent="0.25">
      <c r="A39" s="60"/>
    </row>
    <row r="40" spans="1:1" x14ac:dyDescent="0.25">
      <c r="A40" s="60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"/>
  <dimension ref="A1:V45"/>
  <sheetViews>
    <sheetView showGridLines="0" tabSelected="1" topLeftCell="G1" zoomScale="70" zoomScaleNormal="70" workbookViewId="0">
      <selection activeCell="C2" sqref="C2"/>
    </sheetView>
  </sheetViews>
  <sheetFormatPr defaultColWidth="13.7109375" defaultRowHeight="15" x14ac:dyDescent="0.25"/>
  <cols>
    <col min="1" max="1" width="2" style="6" customWidth="1"/>
    <col min="2" max="2" width="21.140625" style="6" customWidth="1"/>
    <col min="3" max="3" width="31" style="6" customWidth="1"/>
    <col min="4" max="4" width="18" style="6" customWidth="1"/>
    <col min="5" max="5" width="19" style="9" customWidth="1"/>
    <col min="6" max="6" width="19.28515625" style="6" customWidth="1"/>
    <col min="7" max="7" width="33.85546875" style="6" customWidth="1"/>
    <col min="8" max="8" width="18.28515625" style="6" customWidth="1"/>
    <col min="9" max="9" width="21.5703125" style="9" customWidth="1"/>
    <col min="10" max="10" width="32.140625" style="6" customWidth="1"/>
    <col min="11" max="11" width="28.5703125" style="6" customWidth="1"/>
    <col min="12" max="12" width="34.5703125" style="6" customWidth="1"/>
    <col min="13" max="13" width="6.140625" style="6" customWidth="1"/>
    <col min="14" max="14" width="43.5703125" style="6" bestFit="1" customWidth="1"/>
    <col min="15" max="15" width="43.5703125" style="9" bestFit="1" customWidth="1"/>
    <col min="16" max="16" width="43.5703125" style="6" bestFit="1" customWidth="1"/>
    <col min="17" max="17" width="43.5703125" style="6" customWidth="1"/>
    <col min="18" max="18" width="43.5703125" style="6" bestFit="1" customWidth="1"/>
    <col min="19" max="19" width="43.5703125" style="9" bestFit="1" customWidth="1"/>
    <col min="20" max="20" width="43.7109375" style="8" customWidth="1"/>
    <col min="21" max="21" width="44.85546875" style="6" bestFit="1" customWidth="1"/>
    <col min="22" max="22" width="15.85546875" style="6" customWidth="1"/>
    <col min="23" max="23" width="44" style="6" bestFit="1" customWidth="1"/>
    <col min="24" max="24" width="19.5703125" style="6" bestFit="1" customWidth="1"/>
    <col min="25" max="25" width="39.85546875" style="6" bestFit="1" customWidth="1"/>
    <col min="26" max="27" width="42.140625" style="6" bestFit="1" customWidth="1"/>
    <col min="28" max="16384" width="13.7109375" style="6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152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40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33.75" customHeight="1" thickBot="1" x14ac:dyDescent="0.3">
      <c r="B9" s="65" t="s">
        <v>0</v>
      </c>
      <c r="C9" s="102" t="s">
        <v>15</v>
      </c>
      <c r="D9" s="66" t="s">
        <v>20</v>
      </c>
      <c r="E9" s="67" t="s">
        <v>1</v>
      </c>
      <c r="F9" s="68" t="s">
        <v>2</v>
      </c>
      <c r="G9" s="103" t="s">
        <v>14</v>
      </c>
      <c r="H9" s="68" t="s">
        <v>56</v>
      </c>
      <c r="I9" s="68" t="s">
        <v>57</v>
      </c>
      <c r="J9" s="103" t="s">
        <v>16</v>
      </c>
      <c r="K9" s="104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ht="39" x14ac:dyDescent="0.25">
      <c r="B10" s="108" t="s">
        <v>81</v>
      </c>
      <c r="C10" s="29" t="s">
        <v>82</v>
      </c>
      <c r="D10" s="64">
        <v>1</v>
      </c>
      <c r="E10" s="30">
        <v>4500</v>
      </c>
      <c r="F10" s="31">
        <v>45868</v>
      </c>
      <c r="G10" s="113" t="s">
        <v>80</v>
      </c>
      <c r="H10" s="113">
        <v>899.40800000000002</v>
      </c>
      <c r="I10" s="113">
        <v>899.65599999999995</v>
      </c>
      <c r="J10" s="74">
        <f>IF(ISBLANK(E10),"",IF(ISNUMBER(H10),(I10-H10)/H10,0))</f>
        <v>2.7573692918000909E-4</v>
      </c>
      <c r="K10" s="75">
        <f>IF(ISBLANK(E10),"",E10*(1+J10))</f>
        <v>4501.24081618131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6"/>
      <c r="T10" s="6"/>
    </row>
    <row r="11" spans="1:21" ht="51" x14ac:dyDescent="0.25">
      <c r="B11" s="109" t="s">
        <v>83</v>
      </c>
      <c r="C11" s="29" t="s">
        <v>92</v>
      </c>
      <c r="D11" s="64">
        <v>1</v>
      </c>
      <c r="E11" s="30">
        <v>3350</v>
      </c>
      <c r="F11" s="31">
        <v>45839</v>
      </c>
      <c r="G11" s="113" t="s">
        <v>80</v>
      </c>
      <c r="H11" s="113">
        <v>899.40800000000002</v>
      </c>
      <c r="I11" s="113">
        <v>899.65599999999995</v>
      </c>
      <c r="J11" s="74">
        <f>IF(ISBLANK(E11),"",IF(ISNUMBER(H11),(I11-H11)/H11,0))</f>
        <v>2.7573692918000909E-4</v>
      </c>
      <c r="K11" s="75">
        <f t="shared" ref="K11:K16" si="1">IF(ISBLANK(E11),"",E11*(1+J11))</f>
        <v>3350.9237187127528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6"/>
      <c r="T11" s="6"/>
    </row>
    <row r="12" spans="1:21" ht="38.25" x14ac:dyDescent="0.25">
      <c r="B12" s="109" t="s">
        <v>84</v>
      </c>
      <c r="C12" s="64" t="s">
        <v>93</v>
      </c>
      <c r="D12" s="64">
        <v>3</v>
      </c>
      <c r="E12" s="30">
        <v>3883</v>
      </c>
      <c r="F12" s="31">
        <v>45747</v>
      </c>
      <c r="G12" s="113" t="s">
        <v>80</v>
      </c>
      <c r="H12" s="113">
        <v>889.00099999999998</v>
      </c>
      <c r="I12" s="113">
        <v>899.65599999999995</v>
      </c>
      <c r="J12" s="74">
        <f t="shared" ref="J12:J16" si="2">IF(ISBLANK(E12),"",IF(ISNUMBER(H12),(I12-H12)/H12,0))</f>
        <v>1.198536334604795E-2</v>
      </c>
      <c r="K12" s="75">
        <f t="shared" si="1"/>
        <v>3929.5391658727044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6"/>
      <c r="T12" s="6"/>
    </row>
    <row r="13" spans="1:21" x14ac:dyDescent="0.25">
      <c r="B13" s="108"/>
      <c r="C13" s="64"/>
      <c r="D13" s="64"/>
      <c r="E13" s="30"/>
      <c r="F13" s="31"/>
      <c r="G13" s="111"/>
      <c r="H13" s="112"/>
      <c r="I13" s="112"/>
      <c r="J13" s="74" t="str">
        <f>IF(ISBLANK(E13),"",IF(ISNUMBER(H13),(I13-H13)/H13,0))</f>
        <v/>
      </c>
      <c r="K13" s="75" t="str">
        <f t="shared" si="1"/>
        <v/>
      </c>
      <c r="L13" s="3" t="str">
        <f t="shared" si="0"/>
        <v/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6"/>
      <c r="T13" s="6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2"/>
        <v/>
      </c>
      <c r="K14" s="75" t="str">
        <f t="shared" si="1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6"/>
      <c r="T14" s="6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2"/>
        <v/>
      </c>
      <c r="K15" s="75" t="str">
        <f t="shared" si="1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6"/>
      <c r="T15" s="6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2"/>
        <v/>
      </c>
      <c r="K16" s="75" t="str">
        <f t="shared" si="1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6"/>
      <c r="T16" s="6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6"/>
      <c r="T17" s="6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6"/>
      <c r="T18" s="6"/>
    </row>
    <row r="19" spans="2:22" x14ac:dyDescent="0.25">
      <c r="B19" s="122" t="s">
        <v>85</v>
      </c>
      <c r="C19" s="123"/>
      <c r="D19" s="123"/>
      <c r="E19" s="123"/>
      <c r="F19" s="123"/>
      <c r="G19" s="123"/>
      <c r="H19" s="123"/>
      <c r="I19" s="124"/>
      <c r="J19" s="31">
        <v>45973</v>
      </c>
      <c r="K19" s="38">
        <f>4384.99+1650.58</f>
        <v>6035.57</v>
      </c>
      <c r="L19" s="3" t="str">
        <f t="shared" ref="L19:L29" si="3">IF(ISNUMBER(K19),IF($L$32=$O$18,O19,IF($L$32=$P$18,P19,"")),"")</f>
        <v>Não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Não</v>
      </c>
      <c r="P19" s="33"/>
      <c r="Q19" s="8"/>
      <c r="S19" s="6"/>
      <c r="T19" s="6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4668.5600000000004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6"/>
      <c r="T20" s="6"/>
    </row>
    <row r="21" spans="2:22" x14ac:dyDescent="0.25">
      <c r="B21" s="122" t="s">
        <v>168</v>
      </c>
      <c r="C21" s="123"/>
      <c r="D21" s="123"/>
      <c r="E21" s="123"/>
      <c r="F21" s="123"/>
      <c r="G21" s="123"/>
      <c r="H21" s="123"/>
      <c r="I21" s="124"/>
      <c r="J21" s="31">
        <v>45979</v>
      </c>
      <c r="K21" s="38">
        <v>4650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6"/>
      <c r="T21" s="6"/>
    </row>
    <row r="22" spans="2:22" x14ac:dyDescent="0.25">
      <c r="B22" s="122" t="s">
        <v>169</v>
      </c>
      <c r="C22" s="123"/>
      <c r="D22" s="123"/>
      <c r="E22" s="123"/>
      <c r="F22" s="123"/>
      <c r="G22" s="123"/>
      <c r="H22" s="123"/>
      <c r="I22" s="124"/>
      <c r="J22" s="31">
        <v>45985</v>
      </c>
      <c r="K22" s="38">
        <v>4000</v>
      </c>
      <c r="L22" s="3" t="str">
        <f t="shared" si="3"/>
        <v>Sim</v>
      </c>
      <c r="N22" s="21"/>
      <c r="O22" s="48" t="str">
        <f t="shared" si="4"/>
        <v>Sim</v>
      </c>
      <c r="P22" s="35"/>
      <c r="Q22" s="8"/>
      <c r="S22" s="6"/>
      <c r="T22" s="6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6"/>
      <c r="T23" s="6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6"/>
      <c r="T24" s="6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6"/>
      <c r="T25" s="6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6"/>
      <c r="T26" s="6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6"/>
      <c r="T27" s="6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6"/>
      <c r="T28" s="6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6"/>
      <c r="T29" s="6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4183.3772834611282</v>
      </c>
      <c r="N30" s="40" t="s">
        <v>25</v>
      </c>
      <c r="O30" s="49" cm="1">
        <f t="array" ref="O30">IF(COUNTIF(O19:O29,"Sim")&lt;3,"N/D (são necessários pelo menos 3 preços)",AVERAGE(IF(O19:O29="Sim",$K19:$K29)))</f>
        <v>4439.5200000000004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6"/>
      <c r="T30" s="6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4250.6204080906555</v>
      </c>
      <c r="N31" s="42" t="s">
        <v>26</v>
      </c>
      <c r="O31" s="51" cm="1">
        <f t="array" ref="O31">IF(COUNTIF(O19:O29,"Sim")&lt;3,"N/D (são necessários pelo menos 3 preços)",MEDIAN(IF(O19:O29="Sim",$K19:$K29)))</f>
        <v>4650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6"/>
      <c r="T31" s="6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8.5763459375962567E-2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6"/>
      <c r="T32" s="6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4439.5200000000004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6"/>
      <c r="T33" s="6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4650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6"/>
      <c r="T34" s="6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6"/>
      <c r="T35" s="6"/>
    </row>
    <row r="36" spans="1:22" s="86" customFormat="1" x14ac:dyDescent="0.25">
      <c r="A36" s="6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6"/>
      <c r="N36" s="6"/>
      <c r="O36" s="9"/>
      <c r="P36" s="6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4183.3772834611282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6" t="s">
        <v>6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sheetProtection selectLockedCells="1"/>
  <mergeCells count="24">
    <mergeCell ref="L35:L36"/>
    <mergeCell ref="B37:K37"/>
    <mergeCell ref="B35:K36"/>
    <mergeCell ref="B23:I23"/>
    <mergeCell ref="B24:I24"/>
    <mergeCell ref="B28:I28"/>
    <mergeCell ref="B29:I29"/>
    <mergeCell ref="B32:K34"/>
    <mergeCell ref="B27:I27"/>
    <mergeCell ref="L32:L34"/>
    <mergeCell ref="B25:I25"/>
    <mergeCell ref="B26:I26"/>
    <mergeCell ref="A1:G1"/>
    <mergeCell ref="B20:I20"/>
    <mergeCell ref="B21:I21"/>
    <mergeCell ref="B22:I22"/>
    <mergeCell ref="O8:P8"/>
    <mergeCell ref="B8:L8"/>
    <mergeCell ref="B17:L17"/>
    <mergeCell ref="B19:I19"/>
    <mergeCell ref="B18:I18"/>
    <mergeCell ref="O7:P7"/>
    <mergeCell ref="O17:P17"/>
    <mergeCell ref="C7:H7"/>
  </mergeCells>
  <conditionalFormatting sqref="G10:G13">
    <cfRule type="expression" dxfId="15" priority="16" stopIfTrue="1">
      <formula>ISEVEN(ROW())</formula>
    </cfRule>
  </conditionalFormatting>
  <conditionalFormatting sqref="G10:G13">
    <cfRule type="expression" dxfId="14" priority="13" stopIfTrue="1">
      <formula>ISEVEN(ROW())</formula>
    </cfRule>
    <cfRule type="expression" dxfId="13" priority="14" stopIfTrue="1">
      <formula>ISEVEN(ROW())</formula>
    </cfRule>
    <cfRule type="expression" dxfId="12" priority="15" stopIfTrue="1">
      <formula>ISEVEN(ROW())</formula>
    </cfRule>
  </conditionalFormatting>
  <conditionalFormatting sqref="I10:I12">
    <cfRule type="expression" dxfId="11" priority="12" stopIfTrue="1">
      <formula>ISEVEN(ROW())</formula>
    </cfRule>
  </conditionalFormatting>
  <conditionalFormatting sqref="I10:I12">
    <cfRule type="expression" dxfId="10" priority="9" stopIfTrue="1">
      <formula>ISEVEN(ROW())</formula>
    </cfRule>
    <cfRule type="expression" dxfId="9" priority="10" stopIfTrue="1">
      <formula>ISEVEN(ROW())</formula>
    </cfRule>
    <cfRule type="expression" dxfId="8" priority="11" stopIfTrue="1">
      <formula>ISEVEN(ROW())</formula>
    </cfRule>
  </conditionalFormatting>
  <conditionalFormatting sqref="H10:H11">
    <cfRule type="expression" dxfId="7" priority="8" stopIfTrue="1">
      <formula>ISEVEN(ROW())</formula>
    </cfRule>
  </conditionalFormatting>
  <conditionalFormatting sqref="H10:H11">
    <cfRule type="expression" dxfId="6" priority="5" stopIfTrue="1">
      <formula>ISEVEN(ROW())</formula>
    </cfRule>
    <cfRule type="expression" dxfId="5" priority="6" stopIfTrue="1">
      <formula>ISEVEN(ROW())</formula>
    </cfRule>
    <cfRule type="expression" dxfId="4" priority="7" stopIfTrue="1">
      <formula>ISEVEN(ROW())</formula>
    </cfRule>
  </conditionalFormatting>
  <conditionalFormatting sqref="H12">
    <cfRule type="expression" dxfId="3" priority="4" stopIfTrue="1">
      <formula>ISEVEN(ROW())</formula>
    </cfRule>
  </conditionalFormatting>
  <conditionalFormatting sqref="H12">
    <cfRule type="expression" dxfId="2" priority="1" stopIfTrue="1">
      <formula>ISEVEN(ROW())</formula>
    </cfRule>
    <cfRule type="expression" dxfId="1" priority="2" stopIfTrue="1">
      <formula>ISEVEN(ROW())</formula>
    </cfRule>
    <cfRule type="expression" dxfId="0" priority="3" stopIfTrue="1">
      <formula>ISEVEN(ROW())</formula>
    </cfRule>
  </conditionalFormatting>
  <dataValidations count="2"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  <dataValidation type="list" allowBlank="1" showInputMessage="1" showErrorMessage="1" sqref="P10:P16 P19:P29">
      <formula1>"Sim,Não,  ,"</formula1>
    </dataValidation>
  </dataValidations>
  <pageMargins left="0.511811024" right="0.511811024" top="0.78740157499999996" bottom="0.78740157499999996" header="0.31496062000000002" footer="0.31496062000000002"/>
  <pageSetup paperSize="9" scale="49" orientation="landscape" r:id="rId1"/>
  <ignoredErrors>
    <ignoredError sqref="J12 K10:K16 J14:J16" unlockedFormula="1"/>
  </ignoredErrors>
  <drawing r:id="rId2"/>
  <legacyDrawing r:id="rId3"/>
  <controls>
    <mc:AlternateContent xmlns:mc="http://schemas.openxmlformats.org/markup-compatibility/2006">
      <mc:Choice Requires="x14">
        <control shapeId="30732" r:id="rId4" name="ComboBox1">
          <controlPr defaultSize="0" autoLine="0" autoPict="0" linkedCell="B39" listFillRange="K30:K31" r:id="rId5">
            <anchor moveWithCells="1">
              <from>
                <xdr:col>10</xdr:col>
                <xdr:colOff>1895475</xdr:colOff>
                <xdr:row>34</xdr:row>
                <xdr:rowOff>76200</xdr:rowOff>
              </from>
              <to>
                <xdr:col>12</xdr:col>
                <xdr:colOff>0</xdr:colOff>
                <xdr:row>35</xdr:row>
                <xdr:rowOff>38100</xdr:rowOff>
              </to>
            </anchor>
          </controlPr>
        </control>
      </mc:Choice>
      <mc:Fallback>
        <control shapeId="30732" r:id="rId4" name="ComboBox1"/>
      </mc:Fallback>
    </mc:AlternateContent>
    <mc:AlternateContent xmlns:mc="http://schemas.openxmlformats.org/markup-compatibility/2006">
      <mc:Choice Requires="x14">
        <control shapeId="30721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15</xdr:col>
                <xdr:colOff>2895600</xdr:colOff>
                <xdr:row>35</xdr:row>
                <xdr:rowOff>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2"/>
  <dimension ref="A1:V45"/>
  <sheetViews>
    <sheetView showGridLines="0" topLeftCell="I1" zoomScale="70" zoomScaleNormal="70" workbookViewId="0">
      <selection activeCell="L37" sqref="L37"/>
    </sheetView>
  </sheetViews>
  <sheetFormatPr defaultColWidth="13.7109375" defaultRowHeight="15" x14ac:dyDescent="0.25"/>
  <cols>
    <col min="1" max="1" width="2" style="6" customWidth="1"/>
    <col min="2" max="2" width="21.140625" style="6" customWidth="1"/>
    <col min="3" max="3" width="34.85546875" style="6" bestFit="1" customWidth="1"/>
    <col min="4" max="4" width="18" style="6" customWidth="1"/>
    <col min="5" max="5" width="19.28515625" style="9" customWidth="1"/>
    <col min="6" max="6" width="19.28515625" style="6" customWidth="1"/>
    <col min="7" max="7" width="33.85546875" style="6" customWidth="1"/>
    <col min="8" max="8" width="18.28515625" style="6" customWidth="1"/>
    <col min="9" max="9" width="21.5703125" style="9" customWidth="1"/>
    <col min="10" max="10" width="41.42578125" style="6" bestFit="1" customWidth="1"/>
    <col min="11" max="11" width="33.140625" style="6" bestFit="1" customWidth="1"/>
    <col min="12" max="12" width="40.5703125" style="6" customWidth="1"/>
    <col min="13" max="13" width="6.140625" style="6" customWidth="1"/>
    <col min="14" max="14" width="43.5703125" style="6" bestFit="1" customWidth="1"/>
    <col min="15" max="15" width="43.5703125" style="9" bestFit="1" customWidth="1"/>
    <col min="16" max="16" width="43.5703125" style="6" bestFit="1" customWidth="1"/>
    <col min="17" max="17" width="43.5703125" style="6" customWidth="1"/>
    <col min="18" max="18" width="43.5703125" style="6" bestFit="1" customWidth="1"/>
    <col min="19" max="19" width="43.5703125" style="9" bestFit="1" customWidth="1"/>
    <col min="20" max="20" width="43.7109375" style="8" customWidth="1"/>
    <col min="21" max="21" width="44.85546875" style="6" bestFit="1" customWidth="1"/>
    <col min="22" max="22" width="15.85546875" style="6" customWidth="1"/>
    <col min="23" max="23" width="44" style="6" bestFit="1" customWidth="1"/>
    <col min="24" max="24" width="19.5703125" style="6" bestFit="1" customWidth="1"/>
    <col min="25" max="25" width="39.85546875" style="6" bestFit="1" customWidth="1"/>
    <col min="26" max="27" width="42.140625" style="6" bestFit="1" customWidth="1"/>
    <col min="28" max="16384" width="13.7109375" style="6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153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40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ht="51" x14ac:dyDescent="0.25">
      <c r="B10" s="109" t="s">
        <v>90</v>
      </c>
      <c r="C10" s="29" t="s">
        <v>91</v>
      </c>
      <c r="D10" s="64">
        <v>1</v>
      </c>
      <c r="E10" s="30">
        <v>1850</v>
      </c>
      <c r="F10" s="31">
        <v>45960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1850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6"/>
      <c r="T10" s="6"/>
    </row>
    <row r="11" spans="1:21" ht="39" x14ac:dyDescent="0.25">
      <c r="B11" s="108" t="s">
        <v>88</v>
      </c>
      <c r="C11" s="64" t="s">
        <v>97</v>
      </c>
      <c r="D11" s="64">
        <v>1</v>
      </c>
      <c r="E11" s="30">
        <v>1339.8</v>
      </c>
      <c r="F11" s="31">
        <v>45949</v>
      </c>
      <c r="G11" s="32" t="s">
        <v>80</v>
      </c>
      <c r="H11" s="32">
        <v>899.65599999999995</v>
      </c>
      <c r="I11" s="32">
        <v>899.65599999999995</v>
      </c>
      <c r="J11" s="74">
        <f t="shared" ref="J11:J16" si="1">IF(ISBLANK(E11),"",IF(ISNUMBER(H11),(I11-H11)/H11,0))</f>
        <v>0</v>
      </c>
      <c r="K11" s="75">
        <f t="shared" ref="K11:K16" si="2">IF(ISBLANK(E11),"",E11*(1+J11))</f>
        <v>1339.8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6"/>
      <c r="T11" s="6"/>
    </row>
    <row r="12" spans="1:21" x14ac:dyDescent="0.25">
      <c r="B12" s="110" t="s">
        <v>98</v>
      </c>
      <c r="C12" s="64" t="s">
        <v>99</v>
      </c>
      <c r="D12" s="64">
        <v>1</v>
      </c>
      <c r="E12" s="30">
        <v>1587</v>
      </c>
      <c r="F12" s="31">
        <v>45777</v>
      </c>
      <c r="G12" s="32" t="s">
        <v>80</v>
      </c>
      <c r="H12" s="34">
        <v>891.56799999999998</v>
      </c>
      <c r="I12" s="32">
        <v>899.65599999999995</v>
      </c>
      <c r="J12" s="74">
        <f t="shared" si="1"/>
        <v>9.0716580227194841E-3</v>
      </c>
      <c r="K12" s="75">
        <f t="shared" si="2"/>
        <v>1601.3967212820558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6"/>
      <c r="T12" s="6"/>
    </row>
    <row r="13" spans="1:21" ht="51" x14ac:dyDescent="0.25">
      <c r="B13" s="109" t="s">
        <v>100</v>
      </c>
      <c r="C13" s="64"/>
      <c r="D13" s="64">
        <v>4</v>
      </c>
      <c r="E13" s="30">
        <v>1495</v>
      </c>
      <c r="F13" s="31">
        <v>45736</v>
      </c>
      <c r="G13" s="32" t="s">
        <v>101</v>
      </c>
      <c r="H13" s="34">
        <v>889.00099999999998</v>
      </c>
      <c r="I13" s="32">
        <v>899.65599999999995</v>
      </c>
      <c r="J13" s="74">
        <f t="shared" si="1"/>
        <v>1.198536334604795E-2</v>
      </c>
      <c r="K13" s="75">
        <f t="shared" si="2"/>
        <v>1512.9181182023419</v>
      </c>
      <c r="L13" s="3" t="str">
        <f t="shared" si="0"/>
        <v>Sim</v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>Sim</v>
      </c>
      <c r="P13" s="35"/>
      <c r="S13" s="6"/>
      <c r="T13" s="6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6"/>
      <c r="T14" s="6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6"/>
      <c r="T15" s="6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6"/>
      <c r="T16" s="6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6"/>
      <c r="T17" s="6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6"/>
      <c r="T18" s="6"/>
    </row>
    <row r="19" spans="2:22" x14ac:dyDescent="0.25">
      <c r="B19" s="122" t="s">
        <v>102</v>
      </c>
      <c r="C19" s="123"/>
      <c r="D19" s="123"/>
      <c r="E19" s="123"/>
      <c r="F19" s="123"/>
      <c r="G19" s="123"/>
      <c r="H19" s="123"/>
      <c r="I19" s="124"/>
      <c r="J19" s="31">
        <v>45973</v>
      </c>
      <c r="K19" s="38">
        <f>1449.51+324.36</f>
        <v>1773.87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6"/>
      <c r="T19" s="6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3200</v>
      </c>
      <c r="L20" s="3" t="str">
        <f t="shared" si="3"/>
        <v>Não</v>
      </c>
      <c r="N20" s="21"/>
      <c r="O20" s="48" t="str">
        <f t="shared" si="4"/>
        <v>Não</v>
      </c>
      <c r="P20" s="35"/>
      <c r="Q20" s="8"/>
      <c r="S20" s="6"/>
      <c r="T20" s="6"/>
    </row>
    <row r="21" spans="2:22" x14ac:dyDescent="0.25">
      <c r="B21" s="122" t="s">
        <v>168</v>
      </c>
      <c r="C21" s="123"/>
      <c r="D21" s="123"/>
      <c r="E21" s="123"/>
      <c r="F21" s="123"/>
      <c r="G21" s="123"/>
      <c r="H21" s="123"/>
      <c r="I21" s="124"/>
      <c r="J21" s="31">
        <v>45980</v>
      </c>
      <c r="K21" s="38">
        <v>1950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6"/>
      <c r="T21" s="6"/>
    </row>
    <row r="22" spans="2:22" x14ac:dyDescent="0.25">
      <c r="B22" s="122" t="s">
        <v>169</v>
      </c>
      <c r="C22" s="123"/>
      <c r="D22" s="123"/>
      <c r="E22" s="123"/>
      <c r="F22" s="123"/>
      <c r="G22" s="123"/>
      <c r="H22" s="123"/>
      <c r="I22" s="124"/>
      <c r="J22" s="31">
        <v>45985</v>
      </c>
      <c r="K22" s="38">
        <v>2500</v>
      </c>
      <c r="L22" s="3" t="str">
        <f t="shared" si="3"/>
        <v>Sim</v>
      </c>
      <c r="N22" s="21"/>
      <c r="O22" s="48" t="str">
        <f t="shared" si="4"/>
        <v>Sim</v>
      </c>
      <c r="P22" s="35"/>
      <c r="Q22" s="8"/>
      <c r="S22" s="6"/>
      <c r="T22" s="6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6"/>
      <c r="T23" s="6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6"/>
      <c r="T24" s="6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6"/>
      <c r="T25" s="6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6"/>
      <c r="T26" s="6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6"/>
      <c r="T27" s="6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6"/>
      <c r="T28" s="6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6"/>
      <c r="T29" s="6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1789.7121199263424</v>
      </c>
      <c r="N30" s="40" t="s">
        <v>25</v>
      </c>
      <c r="O30" s="49" cm="1">
        <f t="array" ref="O30">IF(COUNTIF(O19:O29,"Sim")&lt;3,"N/D (são necessários pelo menos 3 preços)",AVERAGE(IF(O19:O29="Sim",$K19:$K29)))</f>
        <v>2074.6233333333334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6"/>
      <c r="T30" s="6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1773.87</v>
      </c>
      <c r="N31" s="42" t="s">
        <v>26</v>
      </c>
      <c r="O31" s="51" cm="1">
        <f t="array" ref="O31">IF(COUNTIF(O19:O29,"Sim")&lt;3,"N/D (são necessários pelo menos 3 preços)",MEDIAN(IF(O19:O29="Sim",$K19:$K29)))</f>
        <v>1950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6"/>
      <c r="T31" s="6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0.18257144541263823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6"/>
      <c r="T32" s="6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2074.6233333333334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6"/>
      <c r="T33" s="6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1950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6"/>
      <c r="T34" s="6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6"/>
      <c r="T35" s="6"/>
    </row>
    <row r="36" spans="1:22" s="86" customFormat="1" x14ac:dyDescent="0.25">
      <c r="A36" s="6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6"/>
      <c r="N36" s="6"/>
      <c r="O36" s="9"/>
      <c r="P36" s="6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1773.87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6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sheetProtection selectLockedCells="1"/>
  <mergeCells count="24">
    <mergeCell ref="B17:L17"/>
    <mergeCell ref="O17:P17"/>
    <mergeCell ref="A1:G1"/>
    <mergeCell ref="C7:H7"/>
    <mergeCell ref="O7:P7"/>
    <mergeCell ref="B8:L8"/>
    <mergeCell ref="O8:P8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32:K34"/>
    <mergeCell ref="L32:L34"/>
    <mergeCell ref="B35:K36"/>
    <mergeCell ref="L35:L36"/>
    <mergeCell ref="B37:K37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pageSetup paperSize="9" scale="49" orientation="landscape" r:id="rId1"/>
  <ignoredErrors>
    <ignoredError sqref="J10:J16 K10:K16" unlockedFormula="1"/>
  </ignoredErrors>
  <drawing r:id="rId2"/>
  <legacyDrawing r:id="rId3"/>
  <controls>
    <mc:AlternateContent xmlns:mc="http://schemas.openxmlformats.org/markup-compatibility/2006">
      <mc:Choice Requires="x14">
        <control shapeId="32770" r:id="rId4" name="ComboBox1">
          <controlPr defaultSize="0" autoLine="0" linkedCell="B39" listFillRange="K30:K31" r:id="rId5">
            <anchor moveWithCells="1">
              <from>
                <xdr:col>11</xdr:col>
                <xdr:colOff>66675</xdr:colOff>
                <xdr:row>34</xdr:row>
                <xdr:rowOff>104775</xdr:rowOff>
              </from>
              <to>
                <xdr:col>12</xdr:col>
                <xdr:colOff>9525</xdr:colOff>
                <xdr:row>35</xdr:row>
                <xdr:rowOff>57150</xdr:rowOff>
              </to>
            </anchor>
          </controlPr>
        </control>
      </mc:Choice>
      <mc:Fallback>
        <control shapeId="32770" r:id="rId4" name="ComboBox1"/>
      </mc:Fallback>
    </mc:AlternateContent>
    <mc:AlternateContent xmlns:mc="http://schemas.openxmlformats.org/markup-compatibility/2006">
      <mc:Choice Requires="x14">
        <control shapeId="32769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15</xdr:col>
                <xdr:colOff>2886075</xdr:colOff>
                <xdr:row>35</xdr:row>
                <xdr:rowOff>0</xdr:rowOff>
              </to>
            </anchor>
          </controlPr>
        </control>
      </mc:Choice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3"/>
  <dimension ref="A1:V45"/>
  <sheetViews>
    <sheetView showGridLines="0" topLeftCell="B2" zoomScale="70" zoomScaleNormal="70" workbookViewId="0">
      <selection activeCell="N41" sqref="N41"/>
    </sheetView>
  </sheetViews>
  <sheetFormatPr defaultColWidth="13.7109375" defaultRowHeight="15" x14ac:dyDescent="0.25"/>
  <cols>
    <col min="1" max="1" width="30.7109375" style="6" bestFit="1" customWidth="1"/>
    <col min="2" max="2" width="21.140625" style="6" customWidth="1"/>
    <col min="3" max="3" width="34.85546875" style="6" bestFit="1" customWidth="1"/>
    <col min="4" max="4" width="18" style="6" customWidth="1"/>
    <col min="5" max="5" width="19.28515625" style="9" customWidth="1"/>
    <col min="6" max="6" width="19.28515625" style="6" customWidth="1"/>
    <col min="7" max="7" width="33.85546875" style="6" customWidth="1"/>
    <col min="8" max="8" width="18.28515625" style="6" customWidth="1"/>
    <col min="9" max="9" width="21.5703125" style="9" customWidth="1"/>
    <col min="10" max="10" width="41.42578125" style="6" bestFit="1" customWidth="1"/>
    <col min="11" max="11" width="33.140625" style="6" bestFit="1" customWidth="1"/>
    <col min="12" max="12" width="40.5703125" style="6" customWidth="1"/>
    <col min="13" max="13" width="6.140625" style="6" customWidth="1"/>
    <col min="14" max="14" width="43.5703125" style="6" bestFit="1" customWidth="1"/>
    <col min="15" max="15" width="43.5703125" style="9" bestFit="1" customWidth="1"/>
    <col min="16" max="16" width="43.5703125" style="6" bestFit="1" customWidth="1"/>
    <col min="17" max="17" width="43.5703125" style="6" customWidth="1"/>
    <col min="18" max="18" width="43.5703125" style="6" bestFit="1" customWidth="1"/>
    <col min="19" max="19" width="43.5703125" style="9" bestFit="1" customWidth="1"/>
    <col min="20" max="20" width="43.7109375" style="8" customWidth="1"/>
    <col min="21" max="21" width="44.85546875" style="6" bestFit="1" customWidth="1"/>
    <col min="22" max="22" width="15.85546875" style="6" customWidth="1"/>
    <col min="23" max="23" width="44" style="6" bestFit="1" customWidth="1"/>
    <col min="24" max="24" width="19.5703125" style="6" bestFit="1" customWidth="1"/>
    <col min="25" max="25" width="39.85546875" style="6" bestFit="1" customWidth="1"/>
    <col min="26" max="27" width="42.140625" style="6" bestFit="1" customWidth="1"/>
    <col min="28" max="16384" width="13.7109375" style="6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155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x14ac:dyDescent="0.25">
      <c r="B10" s="110" t="s">
        <v>86</v>
      </c>
      <c r="C10" s="29" t="s">
        <v>94</v>
      </c>
      <c r="D10" s="64">
        <v>200</v>
      </c>
      <c r="E10" s="30">
        <v>614</v>
      </c>
      <c r="F10" s="31">
        <v>45924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614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6"/>
      <c r="T10" s="6"/>
    </row>
    <row r="11" spans="1:21" x14ac:dyDescent="0.25">
      <c r="B11" s="110" t="s">
        <v>87</v>
      </c>
      <c r="C11" s="64" t="s">
        <v>95</v>
      </c>
      <c r="D11" s="64">
        <v>1</v>
      </c>
      <c r="E11" s="30">
        <v>716.78</v>
      </c>
      <c r="F11" s="31">
        <v>45775</v>
      </c>
      <c r="G11" s="32" t="s">
        <v>80</v>
      </c>
      <c r="H11" s="32">
        <v>891.56799999999998</v>
      </c>
      <c r="I11" s="32">
        <v>899.65599999999995</v>
      </c>
      <c r="J11" s="74">
        <f t="shared" ref="J11:J16" si="1">IF(ISBLANK(E11),"",IF(ISNUMBER(H11),(I11-H11)/H11,0))</f>
        <v>9.0716580227194841E-3</v>
      </c>
      <c r="K11" s="75">
        <f t="shared" ref="K11:K16" si="2">IF(ISBLANK(E11),"",E11*(1+J11))</f>
        <v>723.28238303752482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6"/>
      <c r="T11" s="6"/>
    </row>
    <row r="12" spans="1:21" ht="38.25" x14ac:dyDescent="0.25">
      <c r="B12" s="109" t="s">
        <v>88</v>
      </c>
      <c r="C12" s="64" t="s">
        <v>96</v>
      </c>
      <c r="D12" s="64">
        <v>40</v>
      </c>
      <c r="E12" s="30">
        <v>1429</v>
      </c>
      <c r="F12" s="31">
        <v>45625</v>
      </c>
      <c r="G12" s="32" t="s">
        <v>80</v>
      </c>
      <c r="H12" s="32">
        <v>874.6</v>
      </c>
      <c r="I12" s="32">
        <v>899.65599999999995</v>
      </c>
      <c r="J12" s="74">
        <f t="shared" si="1"/>
        <v>2.8648525040018209E-2</v>
      </c>
      <c r="K12" s="75">
        <f t="shared" si="2"/>
        <v>1469.938742282186</v>
      </c>
      <c r="L12" s="3" t="str">
        <f>IF(ISNUMBER(K12),IF($L$32&lt;&gt;$P$9,O12,P12),"")</f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6"/>
      <c r="T12" s="6"/>
    </row>
    <row r="13" spans="1:21" x14ac:dyDescent="0.25">
      <c r="B13" s="63"/>
      <c r="C13" s="64"/>
      <c r="D13" s="64"/>
      <c r="E13" s="30"/>
      <c r="F13" s="31"/>
      <c r="G13" s="34"/>
      <c r="H13" s="34"/>
      <c r="I13" s="34"/>
      <c r="J13" s="74" t="str">
        <f t="shared" si="1"/>
        <v/>
      </c>
      <c r="K13" s="75" t="str">
        <f t="shared" si="2"/>
        <v/>
      </c>
      <c r="L13" s="3" t="str">
        <f t="shared" si="0"/>
        <v/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6"/>
      <c r="T13" s="6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6"/>
      <c r="T14" s="6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6"/>
      <c r="T15" s="6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6"/>
      <c r="T16" s="6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6"/>
      <c r="T17" s="6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6"/>
      <c r="T18" s="6"/>
    </row>
    <row r="19" spans="2:22" x14ac:dyDescent="0.25">
      <c r="B19" s="122" t="s">
        <v>89</v>
      </c>
      <c r="C19" s="123"/>
      <c r="D19" s="123"/>
      <c r="E19" s="123"/>
      <c r="F19" s="123"/>
      <c r="G19" s="123"/>
      <c r="H19" s="123"/>
      <c r="I19" s="124"/>
      <c r="J19" s="31">
        <v>45973</v>
      </c>
      <c r="K19" s="38">
        <f>1068+148.99</f>
        <v>1216.99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6"/>
      <c r="T19" s="6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1660.41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6"/>
      <c r="T20" s="6"/>
    </row>
    <row r="21" spans="2:22" x14ac:dyDescent="0.25">
      <c r="B21" s="122" t="s">
        <v>170</v>
      </c>
      <c r="C21" s="123"/>
      <c r="D21" s="123"/>
      <c r="E21" s="123"/>
      <c r="F21" s="123"/>
      <c r="G21" s="123"/>
      <c r="H21" s="123"/>
      <c r="I21" s="124"/>
      <c r="J21" s="31">
        <v>45985</v>
      </c>
      <c r="K21" s="38">
        <v>1200</v>
      </c>
      <c r="L21" s="3" t="str">
        <f>IF(ISNUMBER(K21),IF($L$32=$O$18,O21,IF($L$32=$P$18,P21,"")),"")</f>
        <v>Sim</v>
      </c>
      <c r="N21" s="21"/>
      <c r="O21" s="48" t="str">
        <f>IF(ISNUMBER(K21),IF(OR(K21&lt;_xlfn.QUARTILE.INC($K$10:$K$29,1)-1.5*(_xlfn.QUARTILE.INC($K$10:$K$29,3)-_xlfn.QUARTILE.INC($K$10:$K$29,1)),K21&gt;_xlfn.QUARTILE.INC($K$10:$K$29,3)+1.5*(_xlfn.QUARTILE.INC($K$10:$K$29,3)-_xlfn.QUARTILE.INC($K$10:$K$29,1))),"Não","Sim"),"")</f>
        <v>Sim</v>
      </c>
      <c r="P21" s="35"/>
      <c r="Q21" s="8"/>
      <c r="S21" s="6"/>
      <c r="T21" s="6"/>
    </row>
    <row r="22" spans="2:22" x14ac:dyDescent="0.25">
      <c r="K22" s="38"/>
      <c r="L22" s="3" t="str">
        <f>IF(ISNUMBER(K22),IF($L$32=$O$18,O22,IF($L$32=$P$18,P22,"")),"")</f>
        <v/>
      </c>
      <c r="N22" s="21"/>
      <c r="O22" s="48" t="str">
        <f>IF(ISNUMBER(K22),IF(OR(K22&lt;_xlfn.QUARTILE.INC($K$10:$K$29,1)-1.5*(_xlfn.QUARTILE.INC($K$10:$K$29,3)-_xlfn.QUARTILE.INC($K$10:$K$29,1)),K22&gt;_xlfn.QUARTILE.INC($K$10:$K$29,3)+1.5*(_xlfn.QUARTILE.INC($K$10:$K$29,3)-_xlfn.QUARTILE.INC($K$10:$K$29,1))),"Não","Sim"),"")</f>
        <v/>
      </c>
      <c r="P22" s="35"/>
      <c r="Q22" s="8"/>
      <c r="S22" s="6"/>
      <c r="T22" s="6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6"/>
      <c r="T23" s="6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6"/>
      <c r="T24" s="6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6"/>
      <c r="T25" s="6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6"/>
      <c r="T26" s="6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6"/>
      <c r="T27" s="6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6"/>
      <c r="T28" s="6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6"/>
      <c r="T29" s="6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1147.4368542199518</v>
      </c>
      <c r="N30" s="40" t="s">
        <v>25</v>
      </c>
      <c r="O30" s="49" cm="1">
        <f t="array" ref="O30">IF(COUNTIF(O19:O29,"Sim")&lt;3,"N/D (são necessários pelo menos 3 preços)",AVERAGE(IF(O19:O29="Sim",$K19:$K29)))</f>
        <v>1359.1333333333334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6"/>
      <c r="T30" s="6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1208.4949999999999</v>
      </c>
      <c r="N31" s="42" t="s">
        <v>26</v>
      </c>
      <c r="O31" s="51" cm="1">
        <f t="array" ref="O31">IF(COUNTIF(O19:O29,"Sim")&lt;3,"N/D (são necessários pelo menos 3 preços)",MEDIAN(IF(O19:O29="Sim",$K19:$K29)))</f>
        <v>1216.99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6"/>
      <c r="T31" s="6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0.19207203370630585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6"/>
      <c r="T32" s="6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1359.1333333333334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6"/>
      <c r="T33" s="6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1216.99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6"/>
      <c r="T34" s="6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6"/>
      <c r="T35" s="6"/>
    </row>
    <row r="36" spans="1:22" s="86" customFormat="1" x14ac:dyDescent="0.25">
      <c r="A36" s="6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6"/>
      <c r="N36" s="6"/>
      <c r="O36" s="9"/>
      <c r="P36" s="6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1147.4368542199518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x14ac:dyDescent="0.25">
      <c r="A39" s="57" t="str">
        <f>O18</f>
        <v>Outliers</v>
      </c>
      <c r="B39" s="6" t="s">
        <v>6</v>
      </c>
    </row>
    <row r="40" spans="1:22" x14ac:dyDescent="0.25">
      <c r="A40" s="57" t="str">
        <f>P18</f>
        <v>Por critério do(a) analista</v>
      </c>
    </row>
    <row r="45" spans="1:22" x14ac:dyDescent="0.25">
      <c r="H45" s="101"/>
    </row>
  </sheetData>
  <sheetProtection selectLockedCells="1"/>
  <mergeCells count="23">
    <mergeCell ref="B17:L17"/>
    <mergeCell ref="O17:P17"/>
    <mergeCell ref="A1:G1"/>
    <mergeCell ref="C7:H7"/>
    <mergeCell ref="O7:P7"/>
    <mergeCell ref="B8:L8"/>
    <mergeCell ref="O8:P8"/>
    <mergeCell ref="B29:I29"/>
    <mergeCell ref="B18:I18"/>
    <mergeCell ref="B19:I19"/>
    <mergeCell ref="B20:I20"/>
    <mergeCell ref="B21:I21"/>
    <mergeCell ref="B23:I23"/>
    <mergeCell ref="B24:I24"/>
    <mergeCell ref="B25:I25"/>
    <mergeCell ref="B26:I26"/>
    <mergeCell ref="B27:I27"/>
    <mergeCell ref="B28:I28"/>
    <mergeCell ref="B32:K34"/>
    <mergeCell ref="L32:L34"/>
    <mergeCell ref="B35:K36"/>
    <mergeCell ref="L35:L36"/>
    <mergeCell ref="B37:K37"/>
  </mergeCells>
  <dataValidations count="2"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  <dataValidation type="list" allowBlank="1" showInputMessage="1" showErrorMessage="1" sqref="P10:P16 P19:P29">
      <formula1>"Sim,Não,  ,"</formula1>
    </dataValidation>
  </dataValidations>
  <pageMargins left="0.511811024" right="0.511811024" top="0.78740157499999996" bottom="0.78740157499999996" header="0.31496062000000002" footer="0.31496062000000002"/>
  <pageSetup paperSize="9" scale="49" orientation="landscape" r:id="rId1"/>
  <ignoredErrors>
    <ignoredError sqref="J10:J16 K10:K16" unlockedFormula="1"/>
  </ignoredErrors>
  <drawing r:id="rId2"/>
  <legacyDrawing r:id="rId3"/>
  <controls>
    <mc:AlternateContent xmlns:mc="http://schemas.openxmlformats.org/markup-compatibility/2006">
      <mc:Choice Requires="x14">
        <control shapeId="33794" r:id="rId4" name="ComboBox1">
          <controlPr defaultSize="0" autoLine="0" linkedCell="B39" listFillRange="K30:K31" r:id="rId5">
            <anchor moveWithCells="1">
              <from>
                <xdr:col>11</xdr:col>
                <xdr:colOff>66675</xdr:colOff>
                <xdr:row>34</xdr:row>
                <xdr:rowOff>104775</xdr:rowOff>
              </from>
              <to>
                <xdr:col>12</xdr:col>
                <xdr:colOff>9525</xdr:colOff>
                <xdr:row>35</xdr:row>
                <xdr:rowOff>57150</xdr:rowOff>
              </to>
            </anchor>
          </controlPr>
        </control>
      </mc:Choice>
      <mc:Fallback>
        <control shapeId="33794" r:id="rId4" name="ComboBox1"/>
      </mc:Fallback>
    </mc:AlternateContent>
    <mc:AlternateContent xmlns:mc="http://schemas.openxmlformats.org/markup-compatibility/2006">
      <mc:Choice Requires="x14">
        <control shapeId="33793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15</xdr:col>
                <xdr:colOff>2886075</xdr:colOff>
                <xdr:row>35</xdr:row>
                <xdr:rowOff>0</xdr:rowOff>
              </to>
            </anchor>
          </controlPr>
        </control>
      </mc:Choice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4"/>
  <dimension ref="A1:V45"/>
  <sheetViews>
    <sheetView topLeftCell="J1" zoomScale="85" zoomScaleNormal="85" workbookViewId="0">
      <selection activeCell="L37" sqref="L37"/>
    </sheetView>
  </sheetViews>
  <sheetFormatPr defaultColWidth="13.7109375" defaultRowHeight="15" x14ac:dyDescent="0.25"/>
  <cols>
    <col min="1" max="1" width="2" style="105" customWidth="1"/>
    <col min="2" max="2" width="21.140625" style="105" customWidth="1"/>
    <col min="3" max="3" width="34.85546875" style="105" bestFit="1" customWidth="1"/>
    <col min="4" max="4" width="18" style="105" customWidth="1"/>
    <col min="5" max="5" width="19.28515625" style="9" customWidth="1"/>
    <col min="6" max="6" width="19.28515625" style="105" customWidth="1"/>
    <col min="7" max="7" width="33.85546875" style="105" customWidth="1"/>
    <col min="8" max="8" width="18.28515625" style="105" customWidth="1"/>
    <col min="9" max="9" width="21.5703125" style="9" customWidth="1"/>
    <col min="10" max="10" width="41.42578125" style="105" bestFit="1" customWidth="1"/>
    <col min="11" max="11" width="33.140625" style="105" bestFit="1" customWidth="1"/>
    <col min="12" max="12" width="40.5703125" style="105" customWidth="1"/>
    <col min="13" max="13" width="6.140625" style="105" customWidth="1"/>
    <col min="14" max="14" width="43.5703125" style="105" bestFit="1" customWidth="1"/>
    <col min="15" max="15" width="43.5703125" style="9" bestFit="1" customWidth="1"/>
    <col min="16" max="16" width="43.5703125" style="105" bestFit="1" customWidth="1"/>
    <col min="17" max="17" width="43.5703125" style="105" customWidth="1"/>
    <col min="18" max="18" width="43.5703125" style="105" bestFit="1" customWidth="1"/>
    <col min="19" max="19" width="43.5703125" style="9" bestFit="1" customWidth="1"/>
    <col min="20" max="20" width="43.7109375" style="8" customWidth="1"/>
    <col min="21" max="21" width="44.85546875" style="105" bestFit="1" customWidth="1"/>
    <col min="22" max="22" width="15.85546875" style="105" customWidth="1"/>
    <col min="23" max="23" width="44" style="105" bestFit="1" customWidth="1"/>
    <col min="24" max="24" width="19.5703125" style="105" bestFit="1" customWidth="1"/>
    <col min="25" max="25" width="39.85546875" style="105" bestFit="1" customWidth="1"/>
    <col min="26" max="27" width="42.140625" style="105" bestFit="1" customWidth="1"/>
    <col min="28" max="16384" width="13.7109375" style="105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156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ht="51" x14ac:dyDescent="0.25">
      <c r="B10" s="109" t="s">
        <v>103</v>
      </c>
      <c r="C10" s="29" t="s">
        <v>104</v>
      </c>
      <c r="D10" s="64">
        <v>1</v>
      </c>
      <c r="E10" s="30">
        <v>3101</v>
      </c>
      <c r="F10" s="31">
        <v>45968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3101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5"/>
      <c r="T10" s="105"/>
    </row>
    <row r="11" spans="1:21" ht="51.75" x14ac:dyDescent="0.25">
      <c r="B11" s="108" t="s">
        <v>90</v>
      </c>
      <c r="C11" s="64" t="s">
        <v>106</v>
      </c>
      <c r="D11" s="64">
        <v>1</v>
      </c>
      <c r="E11" s="30">
        <v>2800</v>
      </c>
      <c r="F11" s="31">
        <v>45960</v>
      </c>
      <c r="G11" s="32" t="s">
        <v>80</v>
      </c>
      <c r="H11" s="32">
        <v>899.65599999999995</v>
      </c>
      <c r="I11" s="32">
        <v>899.65599999999995</v>
      </c>
      <c r="J11" s="74">
        <f t="shared" ref="J11:J16" si="1">IF(ISBLANK(E11),"",IF(ISNUMBER(H11),(I11-H11)/H11,0))</f>
        <v>0</v>
      </c>
      <c r="K11" s="75">
        <f t="shared" ref="K11:K16" si="2">IF(ISBLANK(E11),"",E11*(1+J11))</f>
        <v>2800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5"/>
      <c r="T11" s="105"/>
    </row>
    <row r="12" spans="1:21" ht="51" x14ac:dyDescent="0.25">
      <c r="B12" s="109" t="s">
        <v>83</v>
      </c>
      <c r="C12" s="64" t="s">
        <v>105</v>
      </c>
      <c r="D12" s="64">
        <v>30</v>
      </c>
      <c r="E12" s="30">
        <v>3600</v>
      </c>
      <c r="F12" s="31">
        <v>45698</v>
      </c>
      <c r="G12" s="34" t="s">
        <v>80</v>
      </c>
      <c r="H12" s="34">
        <v>887.56100000000004</v>
      </c>
      <c r="I12" s="34">
        <v>899.65599999999995</v>
      </c>
      <c r="J12" s="74">
        <f t="shared" si="1"/>
        <v>1.3627232381774225E-2</v>
      </c>
      <c r="K12" s="75">
        <f t="shared" si="2"/>
        <v>3649.0580365743876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105"/>
      <c r="T12" s="105"/>
    </row>
    <row r="13" spans="1:21" x14ac:dyDescent="0.25">
      <c r="B13" s="63"/>
      <c r="C13" s="64"/>
      <c r="D13" s="64"/>
      <c r="E13" s="30"/>
      <c r="F13" s="31"/>
      <c r="G13" s="34"/>
      <c r="H13" s="34"/>
      <c r="I13" s="34"/>
      <c r="J13" s="74" t="str">
        <f t="shared" si="1"/>
        <v/>
      </c>
      <c r="K13" s="75" t="str">
        <f t="shared" si="2"/>
        <v/>
      </c>
      <c r="L13" s="3" t="str">
        <f t="shared" si="0"/>
        <v/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105"/>
      <c r="T13" s="105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5"/>
      <c r="T14" s="105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5"/>
      <c r="T15" s="105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5"/>
      <c r="T16" s="105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5"/>
      <c r="T17" s="105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5"/>
      <c r="T18" s="105"/>
    </row>
    <row r="19" spans="2:22" x14ac:dyDescent="0.25">
      <c r="B19" s="122" t="s">
        <v>107</v>
      </c>
      <c r="C19" s="123"/>
      <c r="D19" s="123"/>
      <c r="E19" s="123"/>
      <c r="F19" s="123"/>
      <c r="G19" s="123"/>
      <c r="H19" s="123"/>
      <c r="I19" s="124"/>
      <c r="J19" s="31">
        <v>45973</v>
      </c>
      <c r="K19" s="38">
        <f>4905.99+562</f>
        <v>5467.99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5"/>
      <c r="T19" s="105"/>
    </row>
    <row r="20" spans="2:22" x14ac:dyDescent="0.25">
      <c r="B20" s="122" t="s">
        <v>168</v>
      </c>
      <c r="C20" s="123"/>
      <c r="D20" s="123"/>
      <c r="E20" s="123"/>
      <c r="F20" s="123"/>
      <c r="G20" s="123"/>
      <c r="H20" s="123"/>
      <c r="I20" s="124"/>
      <c r="J20" s="31">
        <v>45980</v>
      </c>
      <c r="K20" s="38">
        <v>4650</v>
      </c>
      <c r="L20" s="3" t="str">
        <f>IF(ISNUMBER(K20),IF($L$32=$O$18,O20,IF($L$32=$P$18,P20,"")),"")</f>
        <v>Sim</v>
      </c>
      <c r="N20" s="21"/>
      <c r="O20" s="48" t="str">
        <f>IF(ISNUMBER(K20),IF(OR(K20&lt;_xlfn.QUARTILE.INC($K$10:$K$29,1)-1.5*(_xlfn.QUARTILE.INC($K$10:$K$29,3)-_xlfn.QUARTILE.INC($K$10:$K$29,1)),K20&gt;_xlfn.QUARTILE.INC($K$10:$K$29,3)+1.5*(_xlfn.QUARTILE.INC($K$10:$K$29,3)-_xlfn.QUARTILE.INC($K$10:$K$29,1))),"Não","Sim"),"")</f>
        <v>Sim</v>
      </c>
      <c r="P20" s="35"/>
      <c r="Q20" s="8"/>
      <c r="S20" s="105"/>
      <c r="T20" s="105"/>
    </row>
    <row r="21" spans="2:22" x14ac:dyDescent="0.25">
      <c r="B21" s="122" t="s">
        <v>169</v>
      </c>
      <c r="C21" s="123"/>
      <c r="D21" s="123"/>
      <c r="E21" s="123"/>
      <c r="F21" s="123"/>
      <c r="G21" s="123"/>
      <c r="H21" s="123"/>
      <c r="I21" s="124"/>
      <c r="J21" s="31">
        <v>45985</v>
      </c>
      <c r="K21" s="38">
        <v>6000</v>
      </c>
      <c r="L21" s="3" t="str">
        <f>IF(ISNUMBER(K21),IF($L$32=$O$18,O21,IF($L$32=$P$18,P21,"")),"")</f>
        <v>Sim</v>
      </c>
      <c r="N21" s="21"/>
      <c r="O21" s="48" t="str">
        <f>IF(ISNUMBER(K21),IF(OR(K21&lt;_xlfn.QUARTILE.INC($K$10:$K$29,1)-1.5*(_xlfn.QUARTILE.INC($K$10:$K$29,3)-_xlfn.QUARTILE.INC($K$10:$K$29,1)),K21&gt;_xlfn.QUARTILE.INC($K$10:$K$29,3)+1.5*(_xlfn.QUARTILE.INC($K$10:$K$29,3)-_xlfn.QUARTILE.INC($K$10:$K$29,1))),"Não","Sim"),"")</f>
        <v>Sim</v>
      </c>
      <c r="P21" s="35"/>
      <c r="Q21" s="8"/>
      <c r="S21" s="105"/>
      <c r="T21" s="105"/>
    </row>
    <row r="22" spans="2:22" x14ac:dyDescent="0.25">
      <c r="B22" s="122"/>
      <c r="C22" s="123"/>
      <c r="D22" s="123"/>
      <c r="E22" s="123"/>
      <c r="F22" s="123"/>
      <c r="G22" s="123"/>
      <c r="H22" s="123"/>
      <c r="I22" s="124"/>
      <c r="J22" s="31"/>
      <c r="K22" s="38"/>
      <c r="L22" s="3" t="str">
        <f>IF(ISNUMBER(K22),IF($L$32=$O$18,O22,IF($L$32=$P$18,P22,"")),"")</f>
        <v/>
      </c>
      <c r="N22" s="21"/>
      <c r="O22" s="48" t="str">
        <f>IF(ISNUMBER(K22),IF(OR(K22&lt;_xlfn.QUARTILE.INC($K$10:$K$29,1)-1.5*(_xlfn.QUARTILE.INC($K$10:$K$29,3)-_xlfn.QUARTILE.INC($K$10:$K$29,1)),K22&gt;_xlfn.QUARTILE.INC($K$10:$K$29,3)+1.5*(_xlfn.QUARTILE.INC($K$10:$K$29,3)-_xlfn.QUARTILE.INC($K$10:$K$29,1))),"Não","Sim"),"")</f>
        <v/>
      </c>
      <c r="P22" s="35"/>
      <c r="Q22" s="8"/>
      <c r="S22" s="105"/>
      <c r="T22" s="105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105"/>
      <c r="T23" s="105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105"/>
      <c r="T24" s="105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105"/>
      <c r="T25" s="105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105"/>
      <c r="T26" s="105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105"/>
      <c r="T27" s="105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105"/>
      <c r="T28" s="105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105"/>
      <c r="T29" s="105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4278.0080060957307</v>
      </c>
      <c r="N30" s="40" t="s">
        <v>25</v>
      </c>
      <c r="O30" s="49" cm="1">
        <f t="array" ref="O30">IF(COUNTIF(O19:O29,"Sim")&lt;3,"N/D (são necessários pelo menos 3 preços)",AVERAGE(IF(O19:O29="Sim",$K19:$K29)))</f>
        <v>5372.663333333333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105"/>
      <c r="T30" s="105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4149.529018287194</v>
      </c>
      <c r="N31" s="42" t="s">
        <v>26</v>
      </c>
      <c r="O31" s="51" cm="1">
        <f t="array" ref="O31">IF(COUNTIF(O19:O29,"Sim")&lt;3,"N/D (são necessários pelo menos 3 preços)",MEDIAN(IF(O19:O29="Sim",$K19:$K29)))</f>
        <v>5467.99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105"/>
      <c r="T31" s="105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0.12657217628614978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5"/>
      <c r="T32" s="105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5372.663333333333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5"/>
      <c r="T33" s="105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5467.99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5"/>
      <c r="T34" s="105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M35" s="119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5"/>
      <c r="T35" s="105"/>
    </row>
    <row r="36" spans="1:22" s="86" customFormat="1" x14ac:dyDescent="0.25">
      <c r="A36" s="105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19"/>
      <c r="N36" s="105"/>
      <c r="O36" s="9"/>
      <c r="P36" s="105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4149.529018287194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x14ac:dyDescent="0.25">
      <c r="A39" s="57" t="str">
        <f>O18</f>
        <v>Outliers</v>
      </c>
      <c r="B39" s="105" t="s">
        <v>7</v>
      </c>
    </row>
    <row r="40" spans="1:22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35846" r:id="rId4" name="ComboBox1">
          <controlPr defaultSize="0" autoLine="0" linkedCell="B39" listFillRange="K30:K31" r:id="rId5">
            <anchor moveWithCells="1">
              <from>
                <xdr:col>11</xdr:col>
                <xdr:colOff>57150</xdr:colOff>
                <xdr:row>34</xdr:row>
                <xdr:rowOff>95250</xdr:rowOff>
              </from>
              <to>
                <xdr:col>12</xdr:col>
                <xdr:colOff>19050</xdr:colOff>
                <xdr:row>35</xdr:row>
                <xdr:rowOff>57150</xdr:rowOff>
              </to>
            </anchor>
          </controlPr>
        </control>
      </mc:Choice>
      <mc:Fallback>
        <control shapeId="35846" r:id="rId4" name="ComboBox1"/>
      </mc:Fallback>
    </mc:AlternateContent>
    <mc:AlternateContent xmlns:mc="http://schemas.openxmlformats.org/markup-compatibility/2006">
      <mc:Choice Requires="x14">
        <control shapeId="35841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16</xdr:col>
                <xdr:colOff>2724150</xdr:colOff>
                <xdr:row>35</xdr:row>
                <xdr:rowOff>85725</xdr:rowOff>
              </to>
            </anchor>
          </controlPr>
        </control>
      </mc:Choice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5"/>
  <dimension ref="A1:V45"/>
  <sheetViews>
    <sheetView topLeftCell="E1" zoomScale="70" zoomScaleNormal="70" workbookViewId="0">
      <selection activeCell="B21" sqref="B21:I21"/>
    </sheetView>
  </sheetViews>
  <sheetFormatPr defaultColWidth="13.7109375" defaultRowHeight="15" x14ac:dyDescent="0.25"/>
  <cols>
    <col min="1" max="1" width="2" style="105" customWidth="1"/>
    <col min="2" max="2" width="21.140625" style="105" customWidth="1"/>
    <col min="3" max="3" width="34.85546875" style="105" bestFit="1" customWidth="1"/>
    <col min="4" max="4" width="18" style="105" customWidth="1"/>
    <col min="5" max="5" width="19.28515625" style="9" customWidth="1"/>
    <col min="6" max="6" width="19.28515625" style="105" customWidth="1"/>
    <col min="7" max="7" width="33.85546875" style="105" customWidth="1"/>
    <col min="8" max="8" width="18.28515625" style="105" customWidth="1"/>
    <col min="9" max="9" width="21.5703125" style="9" customWidth="1"/>
    <col min="10" max="10" width="41.42578125" style="105" bestFit="1" customWidth="1"/>
    <col min="11" max="11" width="33.140625" style="105" bestFit="1" customWidth="1"/>
    <col min="12" max="12" width="40.5703125" style="105" customWidth="1"/>
    <col min="13" max="13" width="6.140625" style="105" customWidth="1"/>
    <col min="14" max="14" width="43.5703125" style="105" bestFit="1" customWidth="1"/>
    <col min="15" max="15" width="43.5703125" style="9" bestFit="1" customWidth="1"/>
    <col min="16" max="16" width="43.5703125" style="105" bestFit="1" customWidth="1"/>
    <col min="17" max="17" width="43.5703125" style="105" customWidth="1"/>
    <col min="18" max="18" width="43.5703125" style="105" bestFit="1" customWidth="1"/>
    <col min="19" max="19" width="43.5703125" style="9" bestFit="1" customWidth="1"/>
    <col min="20" max="20" width="43.7109375" style="8" customWidth="1"/>
    <col min="21" max="21" width="44.85546875" style="105" bestFit="1" customWidth="1"/>
    <col min="22" max="22" width="15.85546875" style="105" customWidth="1"/>
    <col min="23" max="23" width="44" style="105" bestFit="1" customWidth="1"/>
    <col min="24" max="24" width="19.5703125" style="105" bestFit="1" customWidth="1"/>
    <col min="25" max="25" width="39.85546875" style="105" bestFit="1" customWidth="1"/>
    <col min="26" max="27" width="42.140625" style="105" bestFit="1" customWidth="1"/>
    <col min="28" max="16384" width="13.7109375" style="105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157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ht="39" x14ac:dyDescent="0.25">
      <c r="B10" s="108" t="s">
        <v>108</v>
      </c>
      <c r="C10" s="29" t="s">
        <v>109</v>
      </c>
      <c r="D10" s="64">
        <v>1</v>
      </c>
      <c r="E10" s="30">
        <v>3259.94</v>
      </c>
      <c r="F10" s="31">
        <v>45946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3259.94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5"/>
      <c r="T10" s="105"/>
    </row>
    <row r="11" spans="1:21" ht="26.25" x14ac:dyDescent="0.25">
      <c r="B11" s="108" t="s">
        <v>110</v>
      </c>
      <c r="C11" s="64" t="s">
        <v>111</v>
      </c>
      <c r="D11" s="64">
        <v>1</v>
      </c>
      <c r="E11" s="30">
        <v>1434.82</v>
      </c>
      <c r="F11" s="31">
        <v>45945</v>
      </c>
      <c r="G11" s="32" t="s">
        <v>80</v>
      </c>
      <c r="H11" s="32">
        <v>899.65599999999995</v>
      </c>
      <c r="I11" s="32">
        <v>899.65599999999995</v>
      </c>
      <c r="J11" s="74">
        <f t="shared" ref="J11:J16" si="1">IF(ISBLANK(E11),"",IF(ISNUMBER(H11),(I11-H11)/H11,0))</f>
        <v>0</v>
      </c>
      <c r="K11" s="75">
        <f t="shared" ref="K11:K16" si="2">IF(ISBLANK(E11),"",E11*(1+J11))</f>
        <v>1434.82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5"/>
      <c r="T11" s="105"/>
    </row>
    <row r="12" spans="1:21" ht="38.25" x14ac:dyDescent="0.25">
      <c r="B12" s="109" t="s">
        <v>108</v>
      </c>
      <c r="C12" s="64" t="s">
        <v>112</v>
      </c>
      <c r="D12" s="64">
        <v>1</v>
      </c>
      <c r="E12" s="30">
        <v>1106.28</v>
      </c>
      <c r="F12" s="31">
        <v>45891</v>
      </c>
      <c r="G12" s="32" t="s">
        <v>80</v>
      </c>
      <c r="H12" s="34">
        <v>901.39300000000003</v>
      </c>
      <c r="I12" s="34">
        <v>899.65599999999995</v>
      </c>
      <c r="J12" s="74">
        <f t="shared" si="1"/>
        <v>-1.9270174052828011E-3</v>
      </c>
      <c r="K12" s="75">
        <f t="shared" si="2"/>
        <v>1104.1481791848837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105"/>
      <c r="T12" s="105"/>
    </row>
    <row r="13" spans="1:21" ht="39" x14ac:dyDescent="0.25">
      <c r="B13" s="108" t="s">
        <v>113</v>
      </c>
      <c r="C13" s="64" t="s">
        <v>114</v>
      </c>
      <c r="D13" s="64">
        <v>20</v>
      </c>
      <c r="E13" s="30">
        <v>4678.1499999999996</v>
      </c>
      <c r="F13" s="31">
        <v>45817</v>
      </c>
      <c r="G13" s="34" t="s">
        <v>80</v>
      </c>
      <c r="H13" s="34">
        <v>893.85599999999999</v>
      </c>
      <c r="I13" s="34">
        <v>899.65599999999995</v>
      </c>
      <c r="J13" s="74">
        <f t="shared" si="1"/>
        <v>6.4887409157626669E-3</v>
      </c>
      <c r="K13" s="75">
        <f t="shared" si="2"/>
        <v>4708.5053033150743</v>
      </c>
      <c r="L13" s="3" t="str">
        <f t="shared" si="0"/>
        <v>Sim</v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>Sim</v>
      </c>
      <c r="P13" s="35"/>
      <c r="S13" s="105"/>
      <c r="T13" s="105"/>
    </row>
    <row r="14" spans="1:21" x14ac:dyDescent="0.25">
      <c r="B14" s="106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5"/>
      <c r="T14" s="105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5"/>
      <c r="T15" s="105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5"/>
      <c r="T16" s="105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5"/>
      <c r="T17" s="105"/>
      <c r="V17" s="8"/>
    </row>
    <row r="18" spans="2:22" ht="15.75" thickBot="1" x14ac:dyDescent="0.3">
      <c r="B18" s="157" t="s">
        <v>3</v>
      </c>
      <c r="C18" s="158"/>
      <c r="D18" s="158"/>
      <c r="E18" s="158"/>
      <c r="F18" s="158"/>
      <c r="G18" s="158"/>
      <c r="H18" s="158"/>
      <c r="I18" s="159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5"/>
      <c r="T18" s="105"/>
    </row>
    <row r="19" spans="2:22" x14ac:dyDescent="0.25">
      <c r="B19" s="122" t="s">
        <v>167</v>
      </c>
      <c r="C19" s="123"/>
      <c r="D19" s="123"/>
      <c r="E19" s="123"/>
      <c r="F19" s="123"/>
      <c r="G19" s="123"/>
      <c r="H19" s="123"/>
      <c r="I19" s="124"/>
      <c r="J19" s="31">
        <v>45979</v>
      </c>
      <c r="K19" s="38">
        <v>6435.15</v>
      </c>
      <c r="L19" s="120" t="str">
        <f>IF(ISNUMBER(K19),IF($L$32=$O$18,O19,IF($L$32=$P$18,P19,"")),"")</f>
        <v>Sim</v>
      </c>
      <c r="N19" s="21"/>
      <c r="O19" s="48" t="str">
        <f t="shared" ref="O19:O29" si="3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5"/>
      <c r="T19" s="105"/>
    </row>
    <row r="20" spans="2:22" x14ac:dyDescent="0.25">
      <c r="B20" s="122" t="s">
        <v>168</v>
      </c>
      <c r="C20" s="123"/>
      <c r="D20" s="123"/>
      <c r="E20" s="123"/>
      <c r="F20" s="123"/>
      <c r="G20" s="123"/>
      <c r="H20" s="123"/>
      <c r="I20" s="124"/>
      <c r="J20" s="31">
        <v>45980</v>
      </c>
      <c r="K20" s="38">
        <v>6450</v>
      </c>
      <c r="L20" s="3" t="str">
        <f t="shared" ref="L20:L29" si="4">IF(ISNUMBER(K20),IF($L$32=$O$18,O20,IF($L$32=$P$18,P20,"")),"")</f>
        <v>Sim</v>
      </c>
      <c r="N20" s="21"/>
      <c r="O20" s="48" t="str">
        <f t="shared" si="3"/>
        <v>Sim</v>
      </c>
      <c r="P20" s="35"/>
      <c r="Q20" s="8"/>
      <c r="S20" s="105"/>
      <c r="T20" s="105"/>
    </row>
    <row r="21" spans="2:22" x14ac:dyDescent="0.25">
      <c r="B21" s="122" t="s">
        <v>171</v>
      </c>
      <c r="C21" s="123"/>
      <c r="D21" s="123"/>
      <c r="E21" s="123"/>
      <c r="F21" s="123"/>
      <c r="G21" s="123"/>
      <c r="H21" s="123"/>
      <c r="I21" s="124"/>
      <c r="J21" s="31">
        <v>45987</v>
      </c>
      <c r="K21" s="38">
        <f>4644+504.48</f>
        <v>5148.4799999999996</v>
      </c>
      <c r="L21" s="3" t="str">
        <f t="shared" si="4"/>
        <v>Sim</v>
      </c>
      <c r="N21" s="21"/>
      <c r="O21" s="48" t="str">
        <f t="shared" si="3"/>
        <v>Sim</v>
      </c>
      <c r="P21" s="35"/>
      <c r="Q21" s="8"/>
      <c r="S21" s="105"/>
      <c r="T21" s="105"/>
    </row>
    <row r="22" spans="2:22" x14ac:dyDescent="0.25">
      <c r="B22" s="122"/>
      <c r="C22" s="123"/>
      <c r="D22" s="123"/>
      <c r="E22" s="123"/>
      <c r="F22" s="123"/>
      <c r="G22" s="123"/>
      <c r="H22" s="123"/>
      <c r="I22" s="124"/>
      <c r="K22" s="38"/>
      <c r="L22" s="3" t="str">
        <f t="shared" si="4"/>
        <v/>
      </c>
      <c r="N22" s="21"/>
      <c r="O22" s="48" t="str">
        <f t="shared" si="3"/>
        <v/>
      </c>
      <c r="P22" s="35"/>
      <c r="Q22" s="8"/>
      <c r="S22" s="105"/>
      <c r="T22" s="105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4"/>
        <v/>
      </c>
      <c r="N23" s="21"/>
      <c r="O23" s="48" t="str">
        <f t="shared" si="3"/>
        <v/>
      </c>
      <c r="P23" s="35"/>
      <c r="Q23" s="8"/>
      <c r="S23" s="105"/>
      <c r="T23" s="105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4"/>
        <v/>
      </c>
      <c r="N24" s="21"/>
      <c r="O24" s="48" t="str">
        <f t="shared" si="3"/>
        <v/>
      </c>
      <c r="P24" s="35"/>
      <c r="Q24" s="8"/>
      <c r="S24" s="105"/>
      <c r="T24" s="105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4"/>
        <v/>
      </c>
      <c r="N25" s="21"/>
      <c r="O25" s="48" t="str">
        <f t="shared" si="3"/>
        <v/>
      </c>
      <c r="P25" s="35"/>
      <c r="Q25" s="8"/>
      <c r="S25" s="105"/>
      <c r="T25" s="105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4"/>
        <v/>
      </c>
      <c r="N26" s="21"/>
      <c r="O26" s="48" t="str">
        <f t="shared" si="3"/>
        <v/>
      </c>
      <c r="P26" s="35"/>
      <c r="Q26" s="39"/>
      <c r="S26" s="105"/>
      <c r="T26" s="105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4"/>
        <v/>
      </c>
      <c r="N27" s="21"/>
      <c r="O27" s="48" t="str">
        <f t="shared" si="3"/>
        <v/>
      </c>
      <c r="P27" s="35"/>
      <c r="Q27" s="8"/>
      <c r="S27" s="105"/>
      <c r="T27" s="105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4"/>
        <v/>
      </c>
      <c r="N28" s="21"/>
      <c r="O28" s="48" t="str">
        <f t="shared" si="3"/>
        <v/>
      </c>
      <c r="P28" s="35"/>
      <c r="Q28" s="8"/>
      <c r="S28" s="105"/>
      <c r="T28" s="105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4"/>
        <v/>
      </c>
      <c r="N29" s="21"/>
      <c r="O29" s="48" t="str">
        <f t="shared" si="3"/>
        <v/>
      </c>
      <c r="P29" s="37"/>
      <c r="Q29" s="8"/>
      <c r="S29" s="105"/>
      <c r="T29" s="105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4077.2919260714225</v>
      </c>
      <c r="N30" s="40" t="s">
        <v>25</v>
      </c>
      <c r="O30" s="49" cm="1">
        <f t="array" ref="O30">IF(COUNTIF(O19:O29,"Sim")&lt;3,"N/D (são necessários pelo menos 3 preços)",AVERAGE(IF(O19:O29="Sim",$K19:$K29)))</f>
        <v>6011.2099999999991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105"/>
      <c r="T30" s="105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4708.5053033150743</v>
      </c>
      <c r="N31" s="42" t="s">
        <v>26</v>
      </c>
      <c r="O31" s="51" cm="1">
        <f t="array" ref="O31">IF(COUNTIF(O19:O29,"Sim")&lt;3,"N/D (são necessários pelo menos 3 preços)",MEDIAN(IF(O19:O29="Sim",$K19:$K29)))</f>
        <v>6435.15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105"/>
      <c r="T31" s="105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0.12429826770913477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5"/>
      <c r="T32" s="105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6011.2099999999991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5"/>
      <c r="T33" s="105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6435.15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5"/>
      <c r="T34" s="105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5"/>
      <c r="T35" s="105"/>
    </row>
    <row r="36" spans="1:22" s="86" customFormat="1" x14ac:dyDescent="0.25">
      <c r="A36" s="105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05"/>
      <c r="N36" s="105"/>
      <c r="O36" s="9"/>
      <c r="P36" s="105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4077.2919260714225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105" t="s">
        <v>6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36866" r:id="rId4" name="ComboBox1">
          <controlPr defaultSize="0" autoLine="0" linkedCell="B39" listFillRange="K30:K31" r:id="rId5">
            <anchor moveWithCells="1">
              <from>
                <xdr:col>11</xdr:col>
                <xdr:colOff>19050</xdr:colOff>
                <xdr:row>34</xdr:row>
                <xdr:rowOff>133350</xdr:rowOff>
              </from>
              <to>
                <xdr:col>11</xdr:col>
                <xdr:colOff>2676525</xdr:colOff>
                <xdr:row>35</xdr:row>
                <xdr:rowOff>95250</xdr:rowOff>
              </to>
            </anchor>
          </controlPr>
        </control>
      </mc:Choice>
      <mc:Fallback>
        <control shapeId="36866" r:id="rId4" name="ComboBox1"/>
      </mc:Fallback>
    </mc:AlternateContent>
    <mc:AlternateContent xmlns:mc="http://schemas.openxmlformats.org/markup-compatibility/2006">
      <mc:Choice Requires="x14">
        <control shapeId="36865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16</xdr:col>
                <xdr:colOff>2724150</xdr:colOff>
                <xdr:row>35</xdr:row>
                <xdr:rowOff>85725</xdr:rowOff>
              </to>
            </anchor>
          </controlPr>
        </control>
      </mc:Choice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6"/>
  <dimension ref="A1:V45"/>
  <sheetViews>
    <sheetView topLeftCell="K1" zoomScale="70" zoomScaleNormal="70" workbookViewId="0">
      <selection activeCell="B22" sqref="B22:I22"/>
    </sheetView>
  </sheetViews>
  <sheetFormatPr defaultColWidth="13.7109375" defaultRowHeight="15" x14ac:dyDescent="0.25"/>
  <cols>
    <col min="1" max="1" width="2" style="105" customWidth="1"/>
    <col min="2" max="2" width="21.140625" style="105" customWidth="1"/>
    <col min="3" max="3" width="34.85546875" style="105" bestFit="1" customWidth="1"/>
    <col min="4" max="4" width="18" style="105" customWidth="1"/>
    <col min="5" max="5" width="19.28515625" style="9" customWidth="1"/>
    <col min="6" max="6" width="19.28515625" style="105" customWidth="1"/>
    <col min="7" max="7" width="33.85546875" style="105" customWidth="1"/>
    <col min="8" max="8" width="18.28515625" style="105" customWidth="1"/>
    <col min="9" max="9" width="21.5703125" style="9" customWidth="1"/>
    <col min="10" max="10" width="41.42578125" style="105" bestFit="1" customWidth="1"/>
    <col min="11" max="11" width="33.140625" style="105" bestFit="1" customWidth="1"/>
    <col min="12" max="12" width="40.5703125" style="105" customWidth="1"/>
    <col min="13" max="13" width="6.140625" style="105" customWidth="1"/>
    <col min="14" max="14" width="43.5703125" style="105" bestFit="1" customWidth="1"/>
    <col min="15" max="15" width="43.5703125" style="9" bestFit="1" customWidth="1"/>
    <col min="16" max="16" width="43.5703125" style="105" bestFit="1" customWidth="1"/>
    <col min="17" max="17" width="43.5703125" style="105" customWidth="1"/>
    <col min="18" max="18" width="43.5703125" style="105" bestFit="1" customWidth="1"/>
    <col min="19" max="19" width="43.5703125" style="9" bestFit="1" customWidth="1"/>
    <col min="20" max="20" width="43.7109375" style="8" customWidth="1"/>
    <col min="21" max="21" width="44.85546875" style="105" bestFit="1" customWidth="1"/>
    <col min="22" max="22" width="15.85546875" style="105" customWidth="1"/>
    <col min="23" max="23" width="44" style="105" bestFit="1" customWidth="1"/>
    <col min="24" max="24" width="19.5703125" style="105" bestFit="1" customWidth="1"/>
    <col min="25" max="25" width="39.85546875" style="105" bestFit="1" customWidth="1"/>
    <col min="26" max="27" width="42.140625" style="105" bestFit="1" customWidth="1"/>
    <col min="28" max="16384" width="13.7109375" style="105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158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ht="26.25" x14ac:dyDescent="0.25">
      <c r="B10" s="108" t="s">
        <v>115</v>
      </c>
      <c r="C10" s="29" t="s">
        <v>119</v>
      </c>
      <c r="D10" s="64">
        <v>2</v>
      </c>
      <c r="E10" s="30">
        <v>5172.76</v>
      </c>
      <c r="F10" s="31">
        <v>45965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5172.76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5"/>
      <c r="T10" s="105"/>
    </row>
    <row r="11" spans="1:21" ht="45" x14ac:dyDescent="0.25">
      <c r="B11" s="115" t="s">
        <v>116</v>
      </c>
      <c r="C11" s="64" t="s">
        <v>117</v>
      </c>
      <c r="D11" s="64">
        <v>15</v>
      </c>
      <c r="E11" s="30">
        <v>5655</v>
      </c>
      <c r="F11" s="31">
        <v>45954</v>
      </c>
      <c r="G11" s="32" t="s">
        <v>80</v>
      </c>
      <c r="H11" s="32">
        <v>899.65599999999995</v>
      </c>
      <c r="I11" s="32">
        <v>899.65599999999995</v>
      </c>
      <c r="J11" s="74">
        <f>IF(ISBLANK(E11),"",IF(ISNUMBER(H11),(I11-H11)/H11,0))</f>
        <v>0</v>
      </c>
      <c r="K11" s="75">
        <f>IF(ISBLANK(E11),"",E11*(1+J11))</f>
        <v>5655</v>
      </c>
      <c r="L11" s="3" t="str">
        <f>IF(ISNUMBER(K11),IF($L$32&lt;&gt;$P$9,O11,P11),"")</f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5"/>
      <c r="T11" s="105"/>
    </row>
    <row r="12" spans="1:21" ht="36.75" x14ac:dyDescent="0.25">
      <c r="B12" s="116" t="s">
        <v>83</v>
      </c>
      <c r="C12" s="64" t="s">
        <v>118</v>
      </c>
      <c r="D12" s="64">
        <v>30</v>
      </c>
      <c r="E12" s="30">
        <v>6700</v>
      </c>
      <c r="F12" s="31">
        <v>45698</v>
      </c>
      <c r="G12" s="32" t="s">
        <v>80</v>
      </c>
      <c r="H12" s="32">
        <v>887.56100000000004</v>
      </c>
      <c r="I12" s="32">
        <v>899.65599999999995</v>
      </c>
      <c r="J12" s="74">
        <f t="shared" ref="J12:J16" si="1">IF(ISBLANK(E12),"",IF(ISNUMBER(H12),(I12-H12)/H12,0))</f>
        <v>1.3627232381774225E-2</v>
      </c>
      <c r="K12" s="75">
        <f t="shared" ref="K12:K16" si="2">IF(ISBLANK(E12),"",E12*(1+J12))</f>
        <v>6791.3024569578884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105"/>
      <c r="T12" s="105"/>
    </row>
    <row r="13" spans="1:21" x14ac:dyDescent="0.25">
      <c r="B13" s="63"/>
      <c r="C13" s="64"/>
      <c r="D13" s="64"/>
      <c r="E13" s="30"/>
      <c r="F13" s="31"/>
      <c r="G13" s="34"/>
      <c r="H13" s="34"/>
      <c r="I13" s="34"/>
      <c r="J13" s="74" t="str">
        <f>IF(ISBLANK(E13),"",IF(ISNUMBER(H13),(I13-H13)/H13,0))</f>
        <v/>
      </c>
      <c r="K13" s="75" t="str">
        <f>IF(ISBLANK(E13),"",E13*(1+J13))</f>
        <v/>
      </c>
      <c r="L13" s="3" t="str">
        <f t="shared" si="0"/>
        <v/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105"/>
      <c r="T13" s="105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5"/>
      <c r="T14" s="105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5"/>
      <c r="T15" s="105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5"/>
      <c r="T16" s="105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5"/>
      <c r="T17" s="105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5"/>
      <c r="T18" s="105"/>
    </row>
    <row r="19" spans="2:22" x14ac:dyDescent="0.25">
      <c r="B19" s="122" t="s">
        <v>120</v>
      </c>
      <c r="C19" s="123"/>
      <c r="D19" s="123"/>
      <c r="E19" s="123"/>
      <c r="F19" s="123"/>
      <c r="G19" s="123"/>
      <c r="H19" s="123"/>
      <c r="I19" s="124"/>
      <c r="J19" s="31">
        <v>45974</v>
      </c>
      <c r="K19" s="38">
        <f>7446+464.68</f>
        <v>7910.68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5"/>
      <c r="T19" s="105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6907.8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105"/>
      <c r="T20" s="105"/>
    </row>
    <row r="21" spans="2:22" x14ac:dyDescent="0.25">
      <c r="B21" s="122" t="s">
        <v>168</v>
      </c>
      <c r="C21" s="123"/>
      <c r="D21" s="123"/>
      <c r="E21" s="123"/>
      <c r="F21" s="123"/>
      <c r="G21" s="123"/>
      <c r="H21" s="123"/>
      <c r="I21" s="124"/>
      <c r="J21" s="31">
        <v>45980</v>
      </c>
      <c r="K21" s="38">
        <v>8900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105"/>
      <c r="T21" s="105"/>
    </row>
    <row r="22" spans="2:22" x14ac:dyDescent="0.25">
      <c r="B22" s="122" t="s">
        <v>169</v>
      </c>
      <c r="C22" s="123"/>
      <c r="D22" s="123"/>
      <c r="E22" s="123"/>
      <c r="F22" s="123"/>
      <c r="G22" s="123"/>
      <c r="H22" s="123"/>
      <c r="I22" s="124"/>
      <c r="J22" s="31"/>
      <c r="K22" s="38"/>
      <c r="L22" s="3" t="str">
        <f t="shared" si="3"/>
        <v/>
      </c>
      <c r="N22" s="21"/>
      <c r="O22" s="48" t="str">
        <f t="shared" si="4"/>
        <v/>
      </c>
      <c r="P22" s="35"/>
      <c r="Q22" s="8"/>
      <c r="S22" s="105"/>
      <c r="T22" s="105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105"/>
      <c r="T23" s="105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105"/>
      <c r="T24" s="105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105"/>
      <c r="T25" s="105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105"/>
      <c r="T26" s="105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105"/>
      <c r="T27" s="105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105"/>
      <c r="T28" s="105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105"/>
      <c r="T29" s="105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6889.590409492982</v>
      </c>
      <c r="N30" s="40" t="s">
        <v>25</v>
      </c>
      <c r="O30" s="49" cm="1">
        <f t="array" ref="O30">IF(COUNTIF(O19:O29,"Sim")&lt;3,"N/D (são necessários pelo menos 3 preços)",AVERAGE(IF(O19:O29="Sim",$K19:$K29)))</f>
        <v>7906.16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105"/>
      <c r="T30" s="105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6849.5512284789438</v>
      </c>
      <c r="N31" s="42" t="s">
        <v>26</v>
      </c>
      <c r="O31" s="51" cm="1">
        <f t="array" ref="O31">IF(COUNTIF(O19:O29,"Sim")&lt;3,"N/D (são necessários pelo menos 3 preços)",MEDIAN(IF(O19:O29="Sim",$K19:$K29)))</f>
        <v>7910.68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105"/>
      <c r="T31" s="105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0.12599133983713473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5"/>
      <c r="T32" s="105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7906.16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5"/>
      <c r="T33" s="105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7910.68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5"/>
      <c r="T34" s="105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5"/>
      <c r="T35" s="105"/>
    </row>
    <row r="36" spans="1:22" s="86" customFormat="1" x14ac:dyDescent="0.25">
      <c r="A36" s="105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05"/>
      <c r="N36" s="105"/>
      <c r="O36" s="9"/>
      <c r="P36" s="105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6849.5512284789438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105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drawing r:id="rId1"/>
  <legacyDrawing r:id="rId2"/>
  <controls>
    <mc:AlternateContent xmlns:mc="http://schemas.openxmlformats.org/markup-compatibility/2006">
      <mc:Choice Requires="x14">
        <control shapeId="37890" r:id="rId3" name="ComboBox1">
          <controlPr defaultSize="0" autoLine="0" linkedCell="B39" listFillRange="K30:K31" r:id="rId4">
            <anchor moveWithCells="1">
              <from>
                <xdr:col>11</xdr:col>
                <xdr:colOff>28575</xdr:colOff>
                <xdr:row>34</xdr:row>
                <xdr:rowOff>95250</xdr:rowOff>
              </from>
              <to>
                <xdr:col>11</xdr:col>
                <xdr:colOff>2695575</xdr:colOff>
                <xdr:row>35</xdr:row>
                <xdr:rowOff>66675</xdr:rowOff>
              </to>
            </anchor>
          </controlPr>
        </control>
      </mc:Choice>
      <mc:Fallback>
        <control shapeId="37890" r:id="rId3" name="ComboBox1"/>
      </mc:Fallback>
    </mc:AlternateContent>
    <mc:AlternateContent xmlns:mc="http://schemas.openxmlformats.org/markup-compatibility/2006">
      <mc:Choice Requires="x14">
        <control shapeId="37889" r:id="rId5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16</xdr:col>
                <xdr:colOff>2724150</xdr:colOff>
                <xdr:row>35</xdr:row>
                <xdr:rowOff>85725</xdr:rowOff>
              </to>
            </anchor>
          </controlPr>
        </control>
      </mc:Choice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7"/>
  <dimension ref="A1:V45"/>
  <sheetViews>
    <sheetView topLeftCell="H1" zoomScale="85" zoomScaleNormal="85" workbookViewId="0">
      <selection activeCell="E13" sqref="E13"/>
    </sheetView>
  </sheetViews>
  <sheetFormatPr defaultColWidth="13.7109375" defaultRowHeight="15" x14ac:dyDescent="0.25"/>
  <cols>
    <col min="1" max="1" width="2" style="105" customWidth="1"/>
    <col min="2" max="2" width="21.140625" style="105" customWidth="1"/>
    <col min="3" max="3" width="34.85546875" style="105" bestFit="1" customWidth="1"/>
    <col min="4" max="4" width="18" style="105" customWidth="1"/>
    <col min="5" max="5" width="19.28515625" style="9" customWidth="1"/>
    <col min="6" max="6" width="19.28515625" style="105" customWidth="1"/>
    <col min="7" max="7" width="33.85546875" style="105" customWidth="1"/>
    <col min="8" max="8" width="18.28515625" style="105" customWidth="1"/>
    <col min="9" max="9" width="21.5703125" style="9" customWidth="1"/>
    <col min="10" max="10" width="41.42578125" style="105" bestFit="1" customWidth="1"/>
    <col min="11" max="11" width="33.140625" style="105" bestFit="1" customWidth="1"/>
    <col min="12" max="12" width="40.5703125" style="105" customWidth="1"/>
    <col min="13" max="13" width="6.140625" style="105" customWidth="1"/>
    <col min="14" max="14" width="43.5703125" style="105" bestFit="1" customWidth="1"/>
    <col min="15" max="15" width="43.5703125" style="9" bestFit="1" customWidth="1"/>
    <col min="16" max="16" width="43.5703125" style="105" bestFit="1" customWidth="1"/>
    <col min="17" max="17" width="43.5703125" style="105" customWidth="1"/>
    <col min="18" max="18" width="43.5703125" style="105" bestFit="1" customWidth="1"/>
    <col min="19" max="19" width="43.5703125" style="9" bestFit="1" customWidth="1"/>
    <col min="20" max="20" width="43.7109375" style="8" customWidth="1"/>
    <col min="21" max="21" width="44.85546875" style="105" bestFit="1" customWidth="1"/>
    <col min="22" max="22" width="15.85546875" style="105" customWidth="1"/>
    <col min="23" max="23" width="44" style="105" bestFit="1" customWidth="1"/>
    <col min="24" max="24" width="19.5703125" style="105" bestFit="1" customWidth="1"/>
    <col min="25" max="25" width="39.85546875" style="105" bestFit="1" customWidth="1"/>
    <col min="26" max="27" width="42.140625" style="105" bestFit="1" customWidth="1"/>
    <col min="28" max="16384" width="13.7109375" style="105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159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x14ac:dyDescent="0.25">
      <c r="B10" s="110" t="s">
        <v>121</v>
      </c>
      <c r="C10" s="29" t="s">
        <v>122</v>
      </c>
      <c r="D10" s="64">
        <v>12</v>
      </c>
      <c r="E10" s="30">
        <v>1798</v>
      </c>
      <c r="F10" s="31">
        <v>45840</v>
      </c>
      <c r="G10" s="32" t="s">
        <v>80</v>
      </c>
      <c r="H10" s="32">
        <v>899.40800000000002</v>
      </c>
      <c r="I10" s="32">
        <v>899.65599999999995</v>
      </c>
      <c r="J10" s="74">
        <f>IF(ISBLANK(E10),"",IF(ISNUMBER(H10),(I10-H10)/H10,0))</f>
        <v>2.7573692918000909E-4</v>
      </c>
      <c r="K10" s="75">
        <f>IF(ISBLANK(E10),"",E10*(1+J10))</f>
        <v>1798.4957749986654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5"/>
      <c r="T10" s="105"/>
    </row>
    <row r="11" spans="1:21" ht="26.25" x14ac:dyDescent="0.25">
      <c r="B11" s="108" t="s">
        <v>98</v>
      </c>
      <c r="C11" s="64" t="s">
        <v>123</v>
      </c>
      <c r="D11" s="64">
        <v>1</v>
      </c>
      <c r="E11" s="30">
        <v>2090.9699999999998</v>
      </c>
      <c r="F11" s="31">
        <v>45806</v>
      </c>
      <c r="G11" s="32" t="s">
        <v>80</v>
      </c>
      <c r="H11" s="32">
        <v>891.94100000000003</v>
      </c>
      <c r="I11" s="32">
        <v>899.65599999999995</v>
      </c>
      <c r="J11" s="74">
        <f t="shared" ref="J11:J16" si="1">IF(ISBLANK(E11),"",IF(ISNUMBER(H11),(I11-H11)/H11,0))</f>
        <v>8.6496752587894472E-3</v>
      </c>
      <c r="K11" s="75">
        <f t="shared" ref="K11:K16" si="2">IF(ISBLANK(E11),"",E11*(1+J11))</f>
        <v>2109.0562114758709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5"/>
      <c r="T11" s="105"/>
    </row>
    <row r="12" spans="1:21" ht="26.25" x14ac:dyDescent="0.25">
      <c r="B12" s="108" t="s">
        <v>98</v>
      </c>
      <c r="C12" s="64" t="s">
        <v>124</v>
      </c>
      <c r="D12" s="64">
        <v>8</v>
      </c>
      <c r="E12" s="30">
        <v>1759</v>
      </c>
      <c r="F12" s="31">
        <v>45803</v>
      </c>
      <c r="G12" s="34" t="s">
        <v>80</v>
      </c>
      <c r="H12" s="32">
        <v>891.94100000000003</v>
      </c>
      <c r="I12" s="32">
        <v>899.65599999999995</v>
      </c>
      <c r="J12" s="74">
        <f t="shared" si="1"/>
        <v>8.6496752587894472E-3</v>
      </c>
      <c r="K12" s="75">
        <f t="shared" si="2"/>
        <v>1774.2147787802107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105"/>
      <c r="T12" s="105"/>
    </row>
    <row r="13" spans="1:21" ht="51.75" x14ac:dyDescent="0.25">
      <c r="B13" s="108" t="s">
        <v>125</v>
      </c>
      <c r="C13" s="64" t="s">
        <v>127</v>
      </c>
      <c r="D13" s="64">
        <v>30</v>
      </c>
      <c r="E13" s="30">
        <v>1779</v>
      </c>
      <c r="F13" s="31">
        <v>45698</v>
      </c>
      <c r="G13" s="34" t="s">
        <v>80</v>
      </c>
      <c r="H13" s="34">
        <v>887.56100000000004</v>
      </c>
      <c r="I13" s="32">
        <v>899.65599999999995</v>
      </c>
      <c r="J13" s="74">
        <f t="shared" si="1"/>
        <v>1.3627232381774225E-2</v>
      </c>
      <c r="K13" s="75">
        <f t="shared" si="2"/>
        <v>1803.2428464071766</v>
      </c>
      <c r="L13" s="3" t="str">
        <f t="shared" si="0"/>
        <v>Sim</v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>Sim</v>
      </c>
      <c r="P13" s="35"/>
      <c r="S13" s="105"/>
      <c r="T13" s="105"/>
    </row>
    <row r="14" spans="1:21" x14ac:dyDescent="0.25">
      <c r="B14" s="64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5"/>
      <c r="T14" s="105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5"/>
      <c r="T15" s="105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5"/>
      <c r="T16" s="105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5"/>
      <c r="T17" s="105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5"/>
      <c r="T18" s="105"/>
    </row>
    <row r="19" spans="2:22" x14ac:dyDescent="0.25">
      <c r="B19" s="122" t="s">
        <v>126</v>
      </c>
      <c r="C19" s="123"/>
      <c r="D19" s="123"/>
      <c r="E19" s="123"/>
      <c r="F19" s="123"/>
      <c r="G19" s="123"/>
      <c r="H19" s="123"/>
      <c r="I19" s="124"/>
      <c r="J19" s="31">
        <v>45974</v>
      </c>
      <c r="K19" s="38">
        <f>2264.9+260.01</f>
        <v>2524.91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5"/>
      <c r="T19" s="105"/>
    </row>
    <row r="20" spans="2:22" x14ac:dyDescent="0.25">
      <c r="B20" s="122" t="s">
        <v>168</v>
      </c>
      <c r="C20" s="123"/>
      <c r="D20" s="123"/>
      <c r="E20" s="123"/>
      <c r="F20" s="123"/>
      <c r="G20" s="123"/>
      <c r="H20" s="123"/>
      <c r="I20" s="124"/>
      <c r="J20" s="31">
        <v>45980</v>
      </c>
      <c r="K20" s="38">
        <v>2900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105"/>
      <c r="T20" s="105"/>
    </row>
    <row r="21" spans="2:22" x14ac:dyDescent="0.25">
      <c r="B21" s="122" t="s">
        <v>172</v>
      </c>
      <c r="C21" s="123"/>
      <c r="D21" s="123"/>
      <c r="E21" s="123"/>
      <c r="F21" s="123"/>
      <c r="G21" s="123"/>
      <c r="H21" s="123"/>
      <c r="I21" s="124"/>
      <c r="J21" s="31">
        <v>45987</v>
      </c>
      <c r="K21" s="38">
        <v>3397.63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105"/>
      <c r="T21" s="105"/>
    </row>
    <row r="22" spans="2:22" x14ac:dyDescent="0.25">
      <c r="B22" s="122"/>
      <c r="C22" s="123"/>
      <c r="D22" s="123"/>
      <c r="E22" s="123"/>
      <c r="F22" s="123"/>
      <c r="G22" s="123"/>
      <c r="H22" s="123"/>
      <c r="I22" s="124"/>
      <c r="J22" s="31"/>
      <c r="K22" s="38"/>
      <c r="L22" s="3" t="str">
        <f t="shared" si="3"/>
        <v/>
      </c>
      <c r="N22" s="21"/>
      <c r="O22" s="48" t="str">
        <f t="shared" si="4"/>
        <v/>
      </c>
      <c r="P22" s="35"/>
      <c r="Q22" s="8"/>
      <c r="S22" s="105"/>
      <c r="T22" s="105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105"/>
      <c r="T23" s="105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105"/>
      <c r="T24" s="105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105"/>
      <c r="T25" s="105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105"/>
      <c r="T26" s="105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105"/>
      <c r="T27" s="105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105"/>
      <c r="T28" s="105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105"/>
      <c r="T29" s="105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2329.649944523132</v>
      </c>
      <c r="N30" s="40" t="s">
        <v>25</v>
      </c>
      <c r="O30" s="49" cm="1">
        <f t="array" ref="O30">IF(COUNTIF(O19:O29,"Sim")&lt;3,"N/D (são necessários pelo menos 3 preços)",AVERAGE(IF(O19:O29="Sim",$K19:$K29)))</f>
        <v>2940.8466666666668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105"/>
      <c r="T30" s="105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2109.0562114758709</v>
      </c>
      <c r="N31" s="42" t="s">
        <v>26</v>
      </c>
      <c r="O31" s="51" cm="1">
        <f t="array" ref="O31">IF(COUNTIF(O19:O29,"Sim")&lt;3,"N/D (são necessários pelo menos 3 preços)",MEDIAN(IF(O19:O29="Sim",$K19:$K29)))</f>
        <v>2900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105"/>
      <c r="T31" s="105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0.14886579884234147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5"/>
      <c r="T32" s="105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2940.8466666666668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5"/>
      <c r="T33" s="105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2900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5"/>
      <c r="T34" s="105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5"/>
      <c r="T35" s="105"/>
    </row>
    <row r="36" spans="1:22" s="86" customFormat="1" x14ac:dyDescent="0.25">
      <c r="A36" s="105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05"/>
      <c r="N36" s="105"/>
      <c r="O36" s="9"/>
      <c r="P36" s="105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2109.0562114758709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105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drawing r:id="rId1"/>
  <legacyDrawing r:id="rId2"/>
  <controls>
    <mc:AlternateContent xmlns:mc="http://schemas.openxmlformats.org/markup-compatibility/2006">
      <mc:Choice Requires="x14">
        <control shapeId="38914" r:id="rId3" name="ComboBox1">
          <controlPr defaultSize="0" autoLine="0" linkedCell="B39" listFillRange="K30:K31" r:id="rId4">
            <anchor moveWithCells="1">
              <from>
                <xdr:col>11</xdr:col>
                <xdr:colOff>19050</xdr:colOff>
                <xdr:row>34</xdr:row>
                <xdr:rowOff>76200</xdr:rowOff>
              </from>
              <to>
                <xdr:col>11</xdr:col>
                <xdr:colOff>2686050</xdr:colOff>
                <xdr:row>35</xdr:row>
                <xdr:rowOff>38100</xdr:rowOff>
              </to>
            </anchor>
          </controlPr>
        </control>
      </mc:Choice>
      <mc:Fallback>
        <control shapeId="38914" r:id="rId3" name="ComboBox1"/>
      </mc:Fallback>
    </mc:AlternateContent>
    <mc:AlternateContent xmlns:mc="http://schemas.openxmlformats.org/markup-compatibility/2006">
      <mc:Choice Requires="x14">
        <control shapeId="38913" r:id="rId5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16</xdr:col>
                <xdr:colOff>2724150</xdr:colOff>
                <xdr:row>35</xdr:row>
                <xdr:rowOff>85725</xdr:rowOff>
              </to>
            </anchor>
          </controlPr>
        </control>
      </mc:Choice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8"/>
  <dimension ref="A1:V45"/>
  <sheetViews>
    <sheetView topLeftCell="A2" zoomScale="70" zoomScaleNormal="70" workbookViewId="0">
      <selection activeCell="L35" sqref="L35:L36"/>
    </sheetView>
  </sheetViews>
  <sheetFormatPr defaultColWidth="13.7109375" defaultRowHeight="15" x14ac:dyDescent="0.25"/>
  <cols>
    <col min="1" max="1" width="2" style="107" customWidth="1"/>
    <col min="2" max="2" width="21.140625" style="107" customWidth="1"/>
    <col min="3" max="3" width="34.85546875" style="107" bestFit="1" customWidth="1"/>
    <col min="4" max="4" width="18" style="107" customWidth="1"/>
    <col min="5" max="5" width="19.28515625" style="9" customWidth="1"/>
    <col min="6" max="6" width="19.28515625" style="107" customWidth="1"/>
    <col min="7" max="7" width="33.85546875" style="107" customWidth="1"/>
    <col min="8" max="8" width="18.28515625" style="107" customWidth="1"/>
    <col min="9" max="9" width="21.5703125" style="9" customWidth="1"/>
    <col min="10" max="10" width="41.42578125" style="107" bestFit="1" customWidth="1"/>
    <col min="11" max="11" width="33.140625" style="107" bestFit="1" customWidth="1"/>
    <col min="12" max="12" width="40.5703125" style="107" customWidth="1"/>
    <col min="13" max="13" width="6.140625" style="107" customWidth="1"/>
    <col min="14" max="14" width="43.5703125" style="107" bestFit="1" customWidth="1"/>
    <col min="15" max="15" width="43.5703125" style="9" bestFit="1" customWidth="1"/>
    <col min="16" max="16" width="43.5703125" style="107" bestFit="1" customWidth="1"/>
    <col min="17" max="17" width="43.5703125" style="107" customWidth="1"/>
    <col min="18" max="18" width="43.5703125" style="107" bestFit="1" customWidth="1"/>
    <col min="19" max="19" width="43.5703125" style="9" bestFit="1" customWidth="1"/>
    <col min="20" max="20" width="43.7109375" style="8" customWidth="1"/>
    <col min="21" max="21" width="44.85546875" style="107" bestFit="1" customWidth="1"/>
    <col min="22" max="22" width="15.85546875" style="107" customWidth="1"/>
    <col min="23" max="23" width="44" style="107" bestFit="1" customWidth="1"/>
    <col min="24" max="24" width="19.5703125" style="107" bestFit="1" customWidth="1"/>
    <col min="25" max="25" width="39.85546875" style="107" bestFit="1" customWidth="1"/>
    <col min="26" max="27" width="42.140625" style="107" bestFit="1" customWidth="1"/>
    <col min="28" max="16384" width="13.7109375" style="107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160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x14ac:dyDescent="0.25">
      <c r="B10" s="116" t="s">
        <v>128</v>
      </c>
      <c r="C10" s="29" t="s">
        <v>129</v>
      </c>
      <c r="D10" s="64">
        <v>13</v>
      </c>
      <c r="E10" s="30">
        <v>5299.9</v>
      </c>
      <c r="F10" s="31">
        <v>45973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5299.9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7"/>
      <c r="T10" s="107"/>
    </row>
    <row r="11" spans="1:21" x14ac:dyDescent="0.25">
      <c r="B11" s="117" t="s">
        <v>98</v>
      </c>
      <c r="C11" s="64" t="s">
        <v>130</v>
      </c>
      <c r="D11" s="64">
        <v>2</v>
      </c>
      <c r="E11" s="30">
        <v>3980.76</v>
      </c>
      <c r="F11" s="31">
        <v>45938</v>
      </c>
      <c r="G11" s="32" t="s">
        <v>80</v>
      </c>
      <c r="H11" s="32">
        <v>899.65599999999995</v>
      </c>
      <c r="I11" s="32">
        <v>899.65599999999995</v>
      </c>
      <c r="J11" s="74">
        <f t="shared" ref="J11:J16" si="1">IF(ISBLANK(E11),"",IF(ISNUMBER(H11),(I11-H11)/H11,0))</f>
        <v>0</v>
      </c>
      <c r="K11" s="75">
        <f t="shared" ref="K11:K16" si="2">IF(ISBLANK(E11),"",E11*(1+J11))</f>
        <v>3980.76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7"/>
      <c r="T11" s="107"/>
    </row>
    <row r="12" spans="1:21" ht="51.75" x14ac:dyDescent="0.25">
      <c r="B12" s="108" t="s">
        <v>131</v>
      </c>
      <c r="C12" s="64" t="s">
        <v>132</v>
      </c>
      <c r="D12" s="64">
        <v>1</v>
      </c>
      <c r="E12" s="30">
        <v>4060.94</v>
      </c>
      <c r="F12" s="31">
        <v>45736</v>
      </c>
      <c r="G12" s="34" t="s">
        <v>80</v>
      </c>
      <c r="H12" s="32">
        <v>889.00099999999998</v>
      </c>
      <c r="I12" s="32">
        <v>899.65599999999995</v>
      </c>
      <c r="J12" s="74">
        <f t="shared" si="1"/>
        <v>1.198536334604795E-2</v>
      </c>
      <c r="K12" s="75">
        <f t="shared" si="2"/>
        <v>4109.6118414265002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107"/>
      <c r="T12" s="107"/>
    </row>
    <row r="13" spans="1:21" ht="36.75" x14ac:dyDescent="0.25">
      <c r="B13" s="114" t="s">
        <v>90</v>
      </c>
      <c r="C13" s="64" t="s">
        <v>133</v>
      </c>
      <c r="D13" s="64">
        <v>30</v>
      </c>
      <c r="E13" s="30">
        <v>4600</v>
      </c>
      <c r="F13" s="31">
        <v>45698</v>
      </c>
      <c r="G13" s="34" t="s">
        <v>80</v>
      </c>
      <c r="H13" s="34">
        <v>887.56100000000004</v>
      </c>
      <c r="I13" s="32">
        <v>899.65599999999995</v>
      </c>
      <c r="J13" s="74">
        <f t="shared" si="1"/>
        <v>1.3627232381774225E-2</v>
      </c>
      <c r="K13" s="75">
        <f t="shared" si="2"/>
        <v>4662.685268956162</v>
      </c>
      <c r="L13" s="3" t="str">
        <f t="shared" si="0"/>
        <v>Sim</v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>Sim</v>
      </c>
      <c r="P13" s="35"/>
      <c r="S13" s="107"/>
      <c r="T13" s="107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7"/>
      <c r="T14" s="107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7"/>
      <c r="T15" s="107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7"/>
      <c r="T16" s="107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7"/>
      <c r="T17" s="107"/>
      <c r="V17" s="8"/>
    </row>
    <row r="18" spans="2:22" ht="15.75" thickBot="1" x14ac:dyDescent="0.3">
      <c r="B18" s="157" t="s">
        <v>3</v>
      </c>
      <c r="C18" s="158"/>
      <c r="D18" s="158"/>
      <c r="E18" s="158"/>
      <c r="F18" s="158"/>
      <c r="G18" s="158"/>
      <c r="H18" s="158"/>
      <c r="I18" s="159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7"/>
      <c r="T18" s="107"/>
    </row>
    <row r="19" spans="2:22" x14ac:dyDescent="0.25">
      <c r="B19" s="122" t="s">
        <v>134</v>
      </c>
      <c r="C19" s="123"/>
      <c r="D19" s="123"/>
      <c r="E19" s="123"/>
      <c r="F19" s="123"/>
      <c r="G19" s="123"/>
      <c r="H19" s="123"/>
      <c r="I19" s="124"/>
      <c r="J19" s="31">
        <v>45974</v>
      </c>
      <c r="K19" s="38">
        <f>4761+506.09</f>
        <v>5267.09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7"/>
      <c r="T19" s="107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8173.05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107"/>
      <c r="T20" s="107"/>
    </row>
    <row r="21" spans="2:22" x14ac:dyDescent="0.25">
      <c r="B21" s="122" t="s">
        <v>168</v>
      </c>
      <c r="C21" s="123"/>
      <c r="D21" s="123"/>
      <c r="E21" s="123"/>
      <c r="F21" s="123"/>
      <c r="G21" s="123"/>
      <c r="H21" s="123"/>
      <c r="I21" s="124"/>
      <c r="J21" s="31">
        <v>45980</v>
      </c>
      <c r="K21" s="38">
        <v>6900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107"/>
      <c r="T21" s="107"/>
    </row>
    <row r="22" spans="2:22" x14ac:dyDescent="0.25">
      <c r="B22" s="122" t="s">
        <v>169</v>
      </c>
      <c r="C22" s="123"/>
      <c r="D22" s="123"/>
      <c r="E22" s="123"/>
      <c r="F22" s="123"/>
      <c r="G22" s="123"/>
      <c r="H22" s="123"/>
      <c r="I22" s="124"/>
      <c r="J22" s="31">
        <v>45985</v>
      </c>
      <c r="K22" s="38">
        <v>8000</v>
      </c>
      <c r="L22" s="3" t="str">
        <f t="shared" si="3"/>
        <v>Sim</v>
      </c>
      <c r="N22" s="21"/>
      <c r="O22" s="48" t="str">
        <f t="shared" si="4"/>
        <v>Sim</v>
      </c>
      <c r="P22" s="35"/>
      <c r="Q22" s="8"/>
      <c r="S22" s="107"/>
      <c r="T22" s="107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107"/>
      <c r="T23" s="107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107"/>
      <c r="T24" s="107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107"/>
      <c r="T25" s="107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107"/>
      <c r="T26" s="107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107"/>
      <c r="T27" s="107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107"/>
      <c r="T28" s="107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107"/>
      <c r="T29" s="107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5799.1371387978324</v>
      </c>
      <c r="N30" s="40" t="s">
        <v>25</v>
      </c>
      <c r="O30" s="49" cm="1">
        <f t="array" ref="O30">IF(COUNTIF(O19:O29,"Sim")&lt;3,"N/D (são necessários pelo menos 3 preços)",AVERAGE(IF(O19:O29="Sim",$K19:$K29)))</f>
        <v>7085.0349999999999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107"/>
      <c r="T30" s="107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5283.4949999999999</v>
      </c>
      <c r="N31" s="42" t="s">
        <v>26</v>
      </c>
      <c r="O31" s="51" cm="1">
        <f t="array" ref="O31">IF(COUNTIF(O19:O29,"Sim")&lt;3,"N/D (são necessários pelo menos 3 preços)",MEDIAN(IF(O19:O29="Sim",$K19:$K29)))</f>
        <v>7450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107"/>
      <c r="T31" s="107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0.18866172503607792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7"/>
      <c r="T32" s="107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7085.0349999999999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7"/>
      <c r="T33" s="107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7450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7"/>
      <c r="T34" s="107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7"/>
      <c r="T35" s="107"/>
    </row>
    <row r="36" spans="1:22" s="86" customFormat="1" x14ac:dyDescent="0.25">
      <c r="A36" s="107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07"/>
      <c r="N36" s="107"/>
      <c r="O36" s="9"/>
      <c r="P36" s="107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5283.4949999999999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107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  <dataValidation type="list" allowBlank="1" showInputMessage="1" showErrorMessage="1" sqref="P10:P16 P19:P29">
      <formula1>"Sim,Não,  ,"</formula1>
    </dataValidation>
  </dataValidations>
  <pageMargins left="0.511811024" right="0.511811024" top="0.78740157499999996" bottom="0.78740157499999996" header="0.31496062000000002" footer="0.31496062000000002"/>
  <drawing r:id="rId1"/>
  <legacyDrawing r:id="rId2"/>
  <controls>
    <mc:AlternateContent xmlns:mc="http://schemas.openxmlformats.org/markup-compatibility/2006">
      <mc:Choice Requires="x14">
        <control shapeId="40962" r:id="rId3" name="ComboBox1">
          <controlPr defaultSize="0" autoLine="0" linkedCell="B39" listFillRange="K30:K31" r:id="rId4">
            <anchor moveWithCells="1">
              <from>
                <xdr:col>11</xdr:col>
                <xdr:colOff>47625</xdr:colOff>
                <xdr:row>34</xdr:row>
                <xdr:rowOff>114300</xdr:rowOff>
              </from>
              <to>
                <xdr:col>12</xdr:col>
                <xdr:colOff>0</xdr:colOff>
                <xdr:row>35</xdr:row>
                <xdr:rowOff>76200</xdr:rowOff>
              </to>
            </anchor>
          </controlPr>
        </control>
      </mc:Choice>
      <mc:Fallback>
        <control shapeId="40962" r:id="rId3" name="ComboBox1"/>
      </mc:Fallback>
    </mc:AlternateContent>
    <mc:AlternateContent xmlns:mc="http://schemas.openxmlformats.org/markup-compatibility/2006">
      <mc:Choice Requires="x14">
        <control shapeId="40961" r:id="rId5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18</xdr:col>
                <xdr:colOff>1181100</xdr:colOff>
                <xdr:row>35</xdr:row>
                <xdr:rowOff>171450</xdr:rowOff>
              </to>
            </anchor>
          </controlPr>
        </control>
      </mc:Choice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9"/>
  <dimension ref="A1:V45"/>
  <sheetViews>
    <sheetView topLeftCell="L7" zoomScale="70" zoomScaleNormal="70" workbookViewId="0">
      <selection activeCell="L35" sqref="L35:L36"/>
    </sheetView>
  </sheetViews>
  <sheetFormatPr defaultColWidth="13.7109375" defaultRowHeight="15" x14ac:dyDescent="0.25"/>
  <cols>
    <col min="1" max="1" width="2" style="107" customWidth="1"/>
    <col min="2" max="2" width="21.140625" style="107" customWidth="1"/>
    <col min="3" max="3" width="34.85546875" style="107" bestFit="1" customWidth="1"/>
    <col min="4" max="4" width="18" style="107" customWidth="1"/>
    <col min="5" max="5" width="19.28515625" style="9" customWidth="1"/>
    <col min="6" max="6" width="19.28515625" style="107" customWidth="1"/>
    <col min="7" max="7" width="33.85546875" style="107" customWidth="1"/>
    <col min="8" max="8" width="18.28515625" style="107" customWidth="1"/>
    <col min="9" max="9" width="21.5703125" style="9" customWidth="1"/>
    <col min="10" max="10" width="41.42578125" style="107" bestFit="1" customWidth="1"/>
    <col min="11" max="11" width="33.140625" style="107" bestFit="1" customWidth="1"/>
    <col min="12" max="12" width="40.5703125" style="107" customWidth="1"/>
    <col min="13" max="13" width="6.140625" style="107" customWidth="1"/>
    <col min="14" max="14" width="43.5703125" style="107" bestFit="1" customWidth="1"/>
    <col min="15" max="15" width="43.5703125" style="9" bestFit="1" customWidth="1"/>
    <col min="16" max="16" width="43.5703125" style="107" bestFit="1" customWidth="1"/>
    <col min="17" max="17" width="43.5703125" style="107" customWidth="1"/>
    <col min="18" max="18" width="43.5703125" style="107" bestFit="1" customWidth="1"/>
    <col min="19" max="19" width="43.5703125" style="9" bestFit="1" customWidth="1"/>
    <col min="20" max="20" width="43.7109375" style="8" customWidth="1"/>
    <col min="21" max="21" width="44.85546875" style="107" bestFit="1" customWidth="1"/>
    <col min="22" max="22" width="15.85546875" style="107" customWidth="1"/>
    <col min="23" max="23" width="44" style="107" bestFit="1" customWidth="1"/>
    <col min="24" max="24" width="19.5703125" style="107" bestFit="1" customWidth="1"/>
    <col min="25" max="25" width="39.85546875" style="107" bestFit="1" customWidth="1"/>
    <col min="26" max="27" width="42.140625" style="107" bestFit="1" customWidth="1"/>
    <col min="28" max="16384" width="13.7109375" style="107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161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x14ac:dyDescent="0.25">
      <c r="B10" s="117" t="s">
        <v>86</v>
      </c>
      <c r="C10" s="29" t="s">
        <v>135</v>
      </c>
      <c r="D10" s="64">
        <v>50</v>
      </c>
      <c r="E10" s="30">
        <v>520</v>
      </c>
      <c r="F10" s="31">
        <v>45924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520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7"/>
      <c r="T10" s="107"/>
    </row>
    <row r="11" spans="1:21" ht="36.75" x14ac:dyDescent="0.25">
      <c r="B11" s="116" t="s">
        <v>125</v>
      </c>
      <c r="C11" s="64" t="s">
        <v>136</v>
      </c>
      <c r="D11" s="64">
        <v>30</v>
      </c>
      <c r="E11" s="30">
        <v>585</v>
      </c>
      <c r="F11" s="31">
        <v>45698</v>
      </c>
      <c r="G11" s="32" t="s">
        <v>80</v>
      </c>
      <c r="H11" s="32">
        <v>887.56100000000004</v>
      </c>
      <c r="I11" s="32">
        <v>899.65599999999995</v>
      </c>
      <c r="J11" s="74">
        <f t="shared" ref="J11:J16" si="1">IF(ISBLANK(E11),"",IF(ISNUMBER(H11),(I11-H11)/H11,0))</f>
        <v>1.3627232381774225E-2</v>
      </c>
      <c r="K11" s="75">
        <f t="shared" ref="K11:K16" si="2">IF(ISBLANK(E11),"",E11*(1+J11))</f>
        <v>592.97193094333795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7"/>
      <c r="T11" s="107"/>
    </row>
    <row r="12" spans="1:21" ht="36.75" x14ac:dyDescent="0.25">
      <c r="B12" s="116" t="s">
        <v>138</v>
      </c>
      <c r="C12" s="64" t="s">
        <v>137</v>
      </c>
      <c r="D12" s="64">
        <v>1</v>
      </c>
      <c r="E12" s="30">
        <v>2600</v>
      </c>
      <c r="F12" s="31">
        <v>45638</v>
      </c>
      <c r="G12" s="34" t="s">
        <v>80</v>
      </c>
      <c r="H12" s="32">
        <v>878.596</v>
      </c>
      <c r="I12" s="32">
        <v>899.65599999999995</v>
      </c>
      <c r="J12" s="74">
        <f>IF(ISBLANK(E12),"",IF(ISNUMBER(H12),(I12-H12)/H12,0))</f>
        <v>2.3970061325114096E-2</v>
      </c>
      <c r="K12" s="75">
        <f>IF(ISBLANK(E12),"",E12*(1+J12))</f>
        <v>2662.3221594452966</v>
      </c>
      <c r="L12" s="3" t="str">
        <f>IF(ISNUMBER(K12),IF($L$32&lt;&gt;$P$9,O12,P12),"")</f>
        <v>Não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Não</v>
      </c>
      <c r="P12" s="35"/>
      <c r="S12" s="107"/>
      <c r="T12" s="107"/>
    </row>
    <row r="13" spans="1:21" ht="36.75" x14ac:dyDescent="0.25">
      <c r="B13" s="116" t="s">
        <v>139</v>
      </c>
      <c r="C13" s="64" t="s">
        <v>140</v>
      </c>
      <c r="D13" s="64">
        <v>1</v>
      </c>
      <c r="E13" s="30">
        <v>760.02</v>
      </c>
      <c r="F13" s="31">
        <v>45618</v>
      </c>
      <c r="G13" s="34" t="s">
        <v>80</v>
      </c>
      <c r="H13" s="34">
        <v>874.6</v>
      </c>
      <c r="I13" s="32">
        <v>899.65599999999995</v>
      </c>
      <c r="J13" s="74">
        <f t="shared" si="1"/>
        <v>2.8648525040018209E-2</v>
      </c>
      <c r="K13" s="75">
        <f t="shared" si="2"/>
        <v>781.79345200091461</v>
      </c>
      <c r="L13" s="3" t="str">
        <f t="shared" si="0"/>
        <v>Sim</v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>Sim</v>
      </c>
      <c r="P13" s="35"/>
      <c r="S13" s="107"/>
      <c r="T13" s="107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7"/>
      <c r="T14" s="107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7"/>
      <c r="T15" s="107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7"/>
      <c r="T16" s="107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7"/>
      <c r="T17" s="107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7"/>
      <c r="T18" s="107"/>
    </row>
    <row r="19" spans="2:22" x14ac:dyDescent="0.25">
      <c r="B19" s="122" t="s">
        <v>141</v>
      </c>
      <c r="C19" s="123"/>
      <c r="D19" s="123"/>
      <c r="E19" s="123"/>
      <c r="F19" s="123"/>
      <c r="G19" s="123"/>
      <c r="H19" s="123"/>
      <c r="I19" s="124"/>
      <c r="J19" s="31">
        <v>45975</v>
      </c>
      <c r="K19" s="38">
        <v>919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7"/>
      <c r="T19" s="107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1110.45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107"/>
      <c r="T20" s="107"/>
    </row>
    <row r="21" spans="2:22" x14ac:dyDescent="0.25">
      <c r="B21" s="122" t="s">
        <v>168</v>
      </c>
      <c r="C21" s="123"/>
      <c r="D21" s="123"/>
      <c r="E21" s="123"/>
      <c r="F21" s="123"/>
      <c r="G21" s="123"/>
      <c r="H21" s="123"/>
      <c r="I21" s="124"/>
      <c r="J21" s="31">
        <v>45980</v>
      </c>
      <c r="K21" s="38">
        <v>980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107"/>
      <c r="T21" s="107"/>
    </row>
    <row r="22" spans="2:22" x14ac:dyDescent="0.25">
      <c r="B22" s="122" t="s">
        <v>169</v>
      </c>
      <c r="C22" s="123"/>
      <c r="D22" s="123"/>
      <c r="E22" s="123"/>
      <c r="F22" s="123"/>
      <c r="G22" s="123"/>
      <c r="H22" s="123"/>
      <c r="I22" s="124"/>
      <c r="J22" s="31">
        <v>45985</v>
      </c>
      <c r="K22" s="38">
        <v>1000</v>
      </c>
      <c r="L22" s="3" t="str">
        <f t="shared" si="3"/>
        <v>Sim</v>
      </c>
      <c r="N22" s="21"/>
      <c r="O22" s="48" t="str">
        <f t="shared" si="4"/>
        <v>Sim</v>
      </c>
      <c r="P22" s="35"/>
      <c r="Q22" s="8"/>
      <c r="S22" s="107"/>
      <c r="T22" s="107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107"/>
      <c r="T23" s="107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107"/>
      <c r="T24" s="107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107"/>
      <c r="T25" s="107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107"/>
      <c r="T26" s="107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107"/>
      <c r="T27" s="107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107"/>
      <c r="T28" s="107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107"/>
      <c r="T29" s="107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843.45934042060742</v>
      </c>
      <c r="N30" s="40" t="s">
        <v>25</v>
      </c>
      <c r="O30" s="49" cm="1">
        <f t="array" ref="O30">IF(COUNTIF(O19:O29,"Sim")&lt;3,"N/D (são necessários pelo menos 3 preços)",AVERAGE(IF(O19:O29="Sim",$K19:$K29)))</f>
        <v>1002.3625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107"/>
      <c r="T30" s="107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919</v>
      </c>
      <c r="N31" s="42" t="s">
        <v>26</v>
      </c>
      <c r="O31" s="51" cm="1">
        <f t="array" ref="O31">IF(COUNTIF(O19:O29,"Sim")&lt;3,"N/D (são necessários pelo menos 3 preços)",MEDIAN(IF(O19:O29="Sim",$K19:$K29)))</f>
        <v>990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107"/>
      <c r="T31" s="107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7.9682222712307307E-2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7"/>
      <c r="T32" s="107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1002.3625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7"/>
      <c r="T33" s="107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990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7"/>
      <c r="T34" s="107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7"/>
      <c r="T35" s="107"/>
    </row>
    <row r="36" spans="1:22" s="86" customFormat="1" x14ac:dyDescent="0.25">
      <c r="A36" s="107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07"/>
      <c r="N36" s="107"/>
      <c r="O36" s="9"/>
      <c r="P36" s="107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843.45934042060742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107" t="s">
        <v>6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41986" r:id="rId4" name="ComboBox1">
          <controlPr defaultSize="0" autoLine="0" linkedCell="B39" listFillRange="K30:K31" r:id="rId5">
            <anchor moveWithCells="1">
              <from>
                <xdr:col>11</xdr:col>
                <xdr:colOff>28575</xdr:colOff>
                <xdr:row>34</xdr:row>
                <xdr:rowOff>95250</xdr:rowOff>
              </from>
              <to>
                <xdr:col>11</xdr:col>
                <xdr:colOff>2686050</xdr:colOff>
                <xdr:row>35</xdr:row>
                <xdr:rowOff>57150</xdr:rowOff>
              </to>
            </anchor>
          </controlPr>
        </control>
      </mc:Choice>
      <mc:Fallback>
        <control shapeId="41986" r:id="rId4" name="ComboBox1"/>
      </mc:Fallback>
    </mc:AlternateContent>
    <mc:AlternateContent xmlns:mc="http://schemas.openxmlformats.org/markup-compatibility/2006">
      <mc:Choice Requires="x14">
        <control shapeId="41985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20</xdr:col>
                <xdr:colOff>1762125</xdr:colOff>
                <xdr:row>36</xdr:row>
                <xdr:rowOff>66675</xdr:rowOff>
              </to>
            </anchor>
          </controlPr>
        </control>
      </mc:Choice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0"/>
  <dimension ref="A1:V45"/>
  <sheetViews>
    <sheetView topLeftCell="L4" zoomScale="70" zoomScaleNormal="70" workbookViewId="0">
      <selection activeCell="L35" sqref="L35:L36"/>
    </sheetView>
  </sheetViews>
  <sheetFormatPr defaultColWidth="13.7109375" defaultRowHeight="15" x14ac:dyDescent="0.25"/>
  <cols>
    <col min="1" max="1" width="2" style="107" customWidth="1"/>
    <col min="2" max="2" width="21.140625" style="107" customWidth="1"/>
    <col min="3" max="3" width="34.85546875" style="107" bestFit="1" customWidth="1"/>
    <col min="4" max="4" width="18" style="107" customWidth="1"/>
    <col min="5" max="5" width="19.28515625" style="9" customWidth="1"/>
    <col min="6" max="6" width="19.28515625" style="107" customWidth="1"/>
    <col min="7" max="7" width="33.85546875" style="107" customWidth="1"/>
    <col min="8" max="8" width="18.28515625" style="107" customWidth="1"/>
    <col min="9" max="9" width="21.5703125" style="9" customWidth="1"/>
    <col min="10" max="10" width="41.42578125" style="107" bestFit="1" customWidth="1"/>
    <col min="11" max="11" width="33.140625" style="107" bestFit="1" customWidth="1"/>
    <col min="12" max="12" width="40.5703125" style="107" customWidth="1"/>
    <col min="13" max="13" width="6.140625" style="107" customWidth="1"/>
    <col min="14" max="14" width="43.5703125" style="107" bestFit="1" customWidth="1"/>
    <col min="15" max="15" width="43.5703125" style="9" bestFit="1" customWidth="1"/>
    <col min="16" max="16" width="43.5703125" style="107" bestFit="1" customWidth="1"/>
    <col min="17" max="17" width="43.5703125" style="107" customWidth="1"/>
    <col min="18" max="18" width="43.5703125" style="107" bestFit="1" customWidth="1"/>
    <col min="19" max="19" width="43.5703125" style="9" bestFit="1" customWidth="1"/>
    <col min="20" max="20" width="43.7109375" style="8" customWidth="1"/>
    <col min="21" max="21" width="44.85546875" style="107" bestFit="1" customWidth="1"/>
    <col min="22" max="22" width="15.85546875" style="107" customWidth="1"/>
    <col min="23" max="23" width="44" style="107" bestFit="1" customWidth="1"/>
    <col min="24" max="24" width="19.5703125" style="107" bestFit="1" customWidth="1"/>
    <col min="25" max="25" width="39.85546875" style="107" bestFit="1" customWidth="1"/>
    <col min="26" max="27" width="42.140625" style="107" bestFit="1" customWidth="1"/>
    <col min="28" max="16384" width="13.7109375" style="107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162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ht="36.75" x14ac:dyDescent="0.25">
      <c r="B10" s="116" t="s">
        <v>142</v>
      </c>
      <c r="C10" s="29" t="s">
        <v>143</v>
      </c>
      <c r="D10" s="64">
        <v>15</v>
      </c>
      <c r="E10" s="30">
        <v>3428</v>
      </c>
      <c r="F10" s="31">
        <v>45954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3428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7"/>
      <c r="T10" s="107"/>
    </row>
    <row r="11" spans="1:21" ht="24.75" x14ac:dyDescent="0.25">
      <c r="B11" s="116" t="s">
        <v>98</v>
      </c>
      <c r="C11" s="64" t="s">
        <v>144</v>
      </c>
      <c r="D11" s="64">
        <v>26</v>
      </c>
      <c r="E11" s="30">
        <v>2700</v>
      </c>
      <c r="F11" s="31">
        <v>45855</v>
      </c>
      <c r="G11" s="32" t="s">
        <v>80</v>
      </c>
      <c r="H11" s="32">
        <v>899.40800000000002</v>
      </c>
      <c r="I11" s="32">
        <v>899.65599999999995</v>
      </c>
      <c r="J11" s="74">
        <f t="shared" ref="J11:J16" si="1">IF(ISBLANK(E11),"",IF(ISNUMBER(H11),(I11-H11)/H11,0))</f>
        <v>2.7573692918000909E-4</v>
      </c>
      <c r="K11" s="75">
        <f t="shared" ref="K11:K16" si="2">IF(ISBLANK(E11),"",E11*(1+J11))</f>
        <v>2700.7444897087857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7"/>
      <c r="T11" s="107"/>
    </row>
    <row r="12" spans="1:21" ht="39" x14ac:dyDescent="0.25">
      <c r="B12" s="108" t="s">
        <v>145</v>
      </c>
      <c r="C12" s="64" t="s">
        <v>146</v>
      </c>
      <c r="D12" s="64">
        <v>6</v>
      </c>
      <c r="E12" s="30">
        <v>4900</v>
      </c>
      <c r="F12" s="31">
        <v>45726</v>
      </c>
      <c r="G12" s="34" t="s">
        <v>80</v>
      </c>
      <c r="H12" s="32">
        <v>889.00099999999998</v>
      </c>
      <c r="I12" s="32">
        <v>899.65599999999995</v>
      </c>
      <c r="J12" s="74">
        <f t="shared" si="1"/>
        <v>1.198536334604795E-2</v>
      </c>
      <c r="K12" s="75">
        <f t="shared" si="2"/>
        <v>4958.728280395635</v>
      </c>
      <c r="L12" s="3" t="str">
        <f t="shared" si="0"/>
        <v>Não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Não</v>
      </c>
      <c r="P12" s="35"/>
      <c r="S12" s="107"/>
      <c r="T12" s="107"/>
    </row>
    <row r="13" spans="1:21" ht="36.75" x14ac:dyDescent="0.25">
      <c r="B13" s="114" t="s">
        <v>125</v>
      </c>
      <c r="C13" s="64" t="s">
        <v>147</v>
      </c>
      <c r="D13" s="64">
        <v>30</v>
      </c>
      <c r="E13" s="30">
        <v>2500</v>
      </c>
      <c r="F13" s="31">
        <v>45698</v>
      </c>
      <c r="G13" s="34" t="s">
        <v>80</v>
      </c>
      <c r="H13" s="34">
        <v>887.56100000000004</v>
      </c>
      <c r="I13" s="32">
        <v>899.65599999999995</v>
      </c>
      <c r="J13" s="74">
        <f t="shared" si="1"/>
        <v>1.3627232381774225E-2</v>
      </c>
      <c r="K13" s="75">
        <f t="shared" si="2"/>
        <v>2534.068080954436</v>
      </c>
      <c r="L13" s="3" t="str">
        <f t="shared" si="0"/>
        <v>Sim</v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>Sim</v>
      </c>
      <c r="P13" s="35"/>
      <c r="S13" s="107"/>
      <c r="T13" s="107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7"/>
      <c r="T14" s="107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7"/>
      <c r="T15" s="107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7"/>
      <c r="T16" s="107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7"/>
      <c r="T17" s="107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7"/>
      <c r="T18" s="107"/>
    </row>
    <row r="19" spans="2:22" x14ac:dyDescent="0.25">
      <c r="B19" s="122" t="s">
        <v>148</v>
      </c>
      <c r="C19" s="123"/>
      <c r="D19" s="123"/>
      <c r="E19" s="123"/>
      <c r="F19" s="123"/>
      <c r="G19" s="123"/>
      <c r="H19" s="123"/>
      <c r="I19" s="124"/>
      <c r="J19" s="31">
        <v>45972</v>
      </c>
      <c r="K19" s="38">
        <f>2790+695</f>
        <v>3485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7"/>
      <c r="T19" s="107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2352.6999999999998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107"/>
      <c r="T20" s="107"/>
    </row>
    <row r="21" spans="2:22" x14ac:dyDescent="0.25">
      <c r="B21" s="122" t="s">
        <v>168</v>
      </c>
      <c r="C21" s="123"/>
      <c r="D21" s="123"/>
      <c r="E21" s="123"/>
      <c r="F21" s="123"/>
      <c r="G21" s="123"/>
      <c r="H21" s="123"/>
      <c r="I21" s="124"/>
      <c r="J21" s="31">
        <v>45980</v>
      </c>
      <c r="K21" s="38">
        <v>2790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107"/>
      <c r="T21" s="107"/>
    </row>
    <row r="22" spans="2:22" x14ac:dyDescent="0.25">
      <c r="B22" s="122"/>
      <c r="C22" s="123"/>
      <c r="D22" s="123"/>
      <c r="E22" s="123"/>
      <c r="F22" s="123"/>
      <c r="G22" s="123"/>
      <c r="H22" s="123"/>
      <c r="I22" s="124"/>
      <c r="J22" s="31"/>
      <c r="K22" s="38"/>
      <c r="L22" s="3" t="str">
        <f t="shared" si="3"/>
        <v/>
      </c>
      <c r="N22" s="21"/>
      <c r="O22" s="48" t="str">
        <f t="shared" si="4"/>
        <v/>
      </c>
      <c r="P22" s="35"/>
      <c r="Q22" s="8"/>
      <c r="S22" s="107"/>
      <c r="T22" s="107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107"/>
      <c r="T23" s="107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107"/>
      <c r="T24" s="107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107"/>
      <c r="T25" s="107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107"/>
      <c r="T26" s="107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107"/>
      <c r="T27" s="107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107"/>
      <c r="T28" s="107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107"/>
      <c r="T29" s="107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2881.7520951105366</v>
      </c>
      <c r="N30" s="40" t="s">
        <v>25</v>
      </c>
      <c r="O30" s="49" cm="1">
        <f t="array" ref="O30">IF(COUNTIF(O19:O29,"Sim")&lt;3,"N/D (são necessários pelo menos 3 preços)",AVERAGE(IF(O19:O29="Sim",$K19:$K29)))</f>
        <v>2875.9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107"/>
      <c r="T30" s="107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2745.3722448543931</v>
      </c>
      <c r="N31" s="42" t="s">
        <v>26</v>
      </c>
      <c r="O31" s="51" cm="1">
        <f t="array" ref="O31">IF(COUNTIF(O19:O29,"Sim")&lt;3,"N/D (são necessários pelo menos 3 preços)",MEDIAN(IF(O19:O29="Sim",$K19:$K29)))</f>
        <v>2790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107"/>
      <c r="T31" s="107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0.19855230569266583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7"/>
      <c r="T32" s="107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2875.9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7"/>
      <c r="T33" s="107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2790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7"/>
      <c r="T34" s="107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7"/>
      <c r="T35" s="107"/>
    </row>
    <row r="36" spans="1:22" s="86" customFormat="1" x14ac:dyDescent="0.25">
      <c r="A36" s="107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07"/>
      <c r="N36" s="107"/>
      <c r="O36" s="9"/>
      <c r="P36" s="107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2745.3722448543931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107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drawing r:id="rId1"/>
  <legacyDrawing r:id="rId2"/>
  <controls>
    <mc:AlternateContent xmlns:mc="http://schemas.openxmlformats.org/markup-compatibility/2006">
      <mc:Choice Requires="x14">
        <control shapeId="43010" r:id="rId3" name="ComboBox1">
          <controlPr defaultSize="0" autoLine="0" linkedCell="B39" listFillRange="K30:K31" r:id="rId4">
            <anchor moveWithCells="1">
              <from>
                <xdr:col>11</xdr:col>
                <xdr:colOff>19050</xdr:colOff>
                <xdr:row>34</xdr:row>
                <xdr:rowOff>104775</xdr:rowOff>
              </from>
              <to>
                <xdr:col>11</xdr:col>
                <xdr:colOff>2676525</xdr:colOff>
                <xdr:row>35</xdr:row>
                <xdr:rowOff>66675</xdr:rowOff>
              </to>
            </anchor>
          </controlPr>
        </control>
      </mc:Choice>
      <mc:Fallback>
        <control shapeId="43010" r:id="rId3" name="ComboBox1"/>
      </mc:Fallback>
    </mc:AlternateContent>
    <mc:AlternateContent xmlns:mc="http://schemas.openxmlformats.org/markup-compatibility/2006">
      <mc:Choice Requires="x14">
        <control shapeId="43009" r:id="rId5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20</xdr:col>
                <xdr:colOff>1762125</xdr:colOff>
                <xdr:row>36</xdr:row>
                <xdr:rowOff>66675</xdr:rowOff>
              </to>
            </anchor>
          </controlPr>
        </control>
      </mc:Choice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2"/>
  <dimension ref="A1:V45"/>
  <sheetViews>
    <sheetView topLeftCell="K7" zoomScale="85" zoomScaleNormal="85" workbookViewId="0">
      <selection activeCell="P42" sqref="P42"/>
    </sheetView>
  </sheetViews>
  <sheetFormatPr defaultColWidth="13.7109375" defaultRowHeight="15" x14ac:dyDescent="0.25"/>
  <cols>
    <col min="1" max="1" width="2" style="107" customWidth="1"/>
    <col min="2" max="2" width="21.140625" style="107" customWidth="1"/>
    <col min="3" max="3" width="34.85546875" style="107" bestFit="1" customWidth="1"/>
    <col min="4" max="4" width="18" style="107" customWidth="1"/>
    <col min="5" max="5" width="19.28515625" style="9" customWidth="1"/>
    <col min="6" max="6" width="19.28515625" style="107" customWidth="1"/>
    <col min="7" max="7" width="33.85546875" style="107" customWidth="1"/>
    <col min="8" max="8" width="18.28515625" style="107" customWidth="1"/>
    <col min="9" max="9" width="21.5703125" style="9" customWidth="1"/>
    <col min="10" max="10" width="41.42578125" style="107" bestFit="1" customWidth="1"/>
    <col min="11" max="11" width="33.140625" style="107" bestFit="1" customWidth="1"/>
    <col min="12" max="12" width="40.5703125" style="107" customWidth="1"/>
    <col min="13" max="13" width="6.140625" style="107" customWidth="1"/>
    <col min="14" max="14" width="43.5703125" style="107" bestFit="1" customWidth="1"/>
    <col min="15" max="15" width="43.5703125" style="9" bestFit="1" customWidth="1"/>
    <col min="16" max="16" width="43.5703125" style="107" bestFit="1" customWidth="1"/>
    <col min="17" max="17" width="43.5703125" style="107" customWidth="1"/>
    <col min="18" max="18" width="43.5703125" style="107" bestFit="1" customWidth="1"/>
    <col min="19" max="19" width="43.5703125" style="9" bestFit="1" customWidth="1"/>
    <col min="20" max="20" width="43.7109375" style="8" customWidth="1"/>
    <col min="21" max="21" width="44.85546875" style="107" bestFit="1" customWidth="1"/>
    <col min="22" max="22" width="15.85546875" style="107" customWidth="1"/>
    <col min="23" max="23" width="44" style="107" bestFit="1" customWidth="1"/>
    <col min="24" max="24" width="19.5703125" style="107" bestFit="1" customWidth="1"/>
    <col min="25" max="25" width="39.85546875" style="107" bestFit="1" customWidth="1"/>
    <col min="26" max="27" width="42.140625" style="107" bestFit="1" customWidth="1"/>
    <col min="28" max="16384" width="13.7109375" style="107"/>
  </cols>
  <sheetData>
    <row r="1" spans="1:21" ht="39" customHeight="1" thickBot="1" x14ac:dyDescent="0.3">
      <c r="A1" s="121"/>
      <c r="B1" s="121"/>
      <c r="C1" s="121"/>
      <c r="D1" s="121"/>
      <c r="E1" s="121"/>
      <c r="F1" s="121"/>
      <c r="G1" s="121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39</v>
      </c>
      <c r="C4" s="2" t="s">
        <v>79</v>
      </c>
      <c r="D4" s="12"/>
    </row>
    <row r="5" spans="1:21" ht="15.75" thickBot="1" x14ac:dyDescent="0.3">
      <c r="B5" s="15" t="s">
        <v>19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37" t="s">
        <v>163</v>
      </c>
      <c r="D7" s="138"/>
      <c r="E7" s="138"/>
      <c r="F7" s="138"/>
      <c r="G7" s="138"/>
      <c r="H7" s="139"/>
      <c r="I7" s="73" t="s">
        <v>9</v>
      </c>
      <c r="J7" s="118" t="s">
        <v>154</v>
      </c>
      <c r="K7" s="25" t="s">
        <v>18</v>
      </c>
      <c r="L7" s="26">
        <v>20</v>
      </c>
      <c r="N7" s="12"/>
      <c r="O7" s="133" t="s">
        <v>28</v>
      </c>
      <c r="P7" s="134"/>
      <c r="Q7" s="80"/>
      <c r="R7" s="80"/>
      <c r="S7" s="80"/>
      <c r="T7" s="80"/>
      <c r="U7" s="80"/>
    </row>
    <row r="8" spans="1:21" ht="15.75" thickBot="1" x14ac:dyDescent="0.3">
      <c r="B8" s="127" t="s">
        <v>4</v>
      </c>
      <c r="C8" s="128"/>
      <c r="D8" s="128"/>
      <c r="E8" s="128"/>
      <c r="F8" s="128"/>
      <c r="G8" s="128"/>
      <c r="H8" s="128"/>
      <c r="I8" s="128"/>
      <c r="J8" s="128"/>
      <c r="K8" s="128"/>
      <c r="L8" s="129"/>
      <c r="M8" s="8"/>
      <c r="N8" s="21"/>
      <c r="O8" s="125" t="s">
        <v>58</v>
      </c>
      <c r="P8" s="126"/>
      <c r="Q8" s="82"/>
      <c r="R8" s="80"/>
      <c r="S8" s="80"/>
      <c r="T8" s="80"/>
      <c r="U8" s="80"/>
    </row>
    <row r="9" spans="1:21" ht="15.75" thickBot="1" x14ac:dyDescent="0.3">
      <c r="B9" s="65" t="s">
        <v>0</v>
      </c>
      <c r="C9" s="66" t="s">
        <v>15</v>
      </c>
      <c r="D9" s="66" t="s">
        <v>20</v>
      </c>
      <c r="E9" s="67" t="s">
        <v>1</v>
      </c>
      <c r="F9" s="68" t="s">
        <v>2</v>
      </c>
      <c r="G9" s="68" t="s">
        <v>14</v>
      </c>
      <c r="H9" s="68" t="s">
        <v>56</v>
      </c>
      <c r="I9" s="68" t="s">
        <v>57</v>
      </c>
      <c r="J9" s="68" t="s">
        <v>16</v>
      </c>
      <c r="K9" s="69" t="s">
        <v>47</v>
      </c>
      <c r="L9" s="70" t="s">
        <v>10</v>
      </c>
      <c r="N9" s="21"/>
      <c r="O9" s="77" t="s">
        <v>23</v>
      </c>
      <c r="P9" s="81" t="s">
        <v>49</v>
      </c>
      <c r="Q9" s="83"/>
      <c r="R9" s="12"/>
      <c r="S9" s="12"/>
      <c r="T9" s="12"/>
      <c r="U9" s="12"/>
    </row>
    <row r="10" spans="1:21" ht="36.75" x14ac:dyDescent="0.25">
      <c r="B10" s="116" t="s">
        <v>149</v>
      </c>
      <c r="C10" s="29" t="s">
        <v>150</v>
      </c>
      <c r="D10" s="64">
        <v>2</v>
      </c>
      <c r="E10" s="30">
        <v>25950</v>
      </c>
      <c r="F10" s="31">
        <v>45923</v>
      </c>
      <c r="G10" s="32" t="s">
        <v>80</v>
      </c>
      <c r="H10" s="32">
        <v>899.65599999999995</v>
      </c>
      <c r="I10" s="32">
        <v>899.65599999999995</v>
      </c>
      <c r="J10" s="74">
        <f>IF(ISBLANK(E10),"",IF(ISNUMBER(H10),(I10-H10)/H10,0))</f>
        <v>0</v>
      </c>
      <c r="K10" s="75">
        <f>IF(ISBLANK(E10),"",E10*(1+J10))</f>
        <v>25950</v>
      </c>
      <c r="L10" s="3" t="str">
        <f t="shared" ref="L10:L16" si="0">IF(ISNUMBER(K10),IF($L$32&lt;&gt;$P$9,O10,P10),"")</f>
        <v>Sim</v>
      </c>
      <c r="N10" s="21"/>
      <c r="O10" s="89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>Sim</v>
      </c>
      <c r="P10" s="33"/>
      <c r="S10" s="107"/>
      <c r="T10" s="107"/>
    </row>
    <row r="11" spans="1:21" ht="36.75" x14ac:dyDescent="0.25">
      <c r="B11" s="116" t="s">
        <v>165</v>
      </c>
      <c r="C11" s="64" t="s">
        <v>166</v>
      </c>
      <c r="D11" s="64">
        <v>4</v>
      </c>
      <c r="E11" s="30">
        <v>21914.5</v>
      </c>
      <c r="F11" s="31">
        <v>45754</v>
      </c>
      <c r="G11" s="32" t="s">
        <v>80</v>
      </c>
      <c r="H11" s="32">
        <v>891.56799999999998</v>
      </c>
      <c r="I11" s="32">
        <v>899.65599999999995</v>
      </c>
      <c r="J11" s="74">
        <f t="shared" ref="J11:J16" si="1">IF(ISBLANK(E11),"",IF(ISNUMBER(H11),(I11-H11)/H11,0))</f>
        <v>9.0716580227194841E-3</v>
      </c>
      <c r="K11" s="75">
        <f t="shared" ref="K11:K16" si="2">IF(ISBLANK(E11),"",E11*(1+J11))</f>
        <v>22113.300849738887</v>
      </c>
      <c r="L11" s="3" t="str">
        <f t="shared" si="0"/>
        <v>Sim</v>
      </c>
      <c r="N11" s="21"/>
      <c r="O11" s="78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>Sim</v>
      </c>
      <c r="P11" s="35"/>
      <c r="S11" s="107"/>
      <c r="T11" s="107"/>
    </row>
    <row r="12" spans="1:21" ht="36.75" x14ac:dyDescent="0.25">
      <c r="B12" s="116" t="s">
        <v>90</v>
      </c>
      <c r="C12" s="64" t="s">
        <v>164</v>
      </c>
      <c r="D12" s="64">
        <v>30</v>
      </c>
      <c r="E12" s="30">
        <v>8800</v>
      </c>
      <c r="F12" s="31">
        <v>45698</v>
      </c>
      <c r="G12" s="34" t="s">
        <v>80</v>
      </c>
      <c r="H12" s="32">
        <v>887.56100000000004</v>
      </c>
      <c r="I12" s="32">
        <v>899.65599999999995</v>
      </c>
      <c r="J12" s="74">
        <f t="shared" si="1"/>
        <v>1.3627232381774225E-2</v>
      </c>
      <c r="K12" s="75">
        <f t="shared" si="2"/>
        <v>8919.9196449596147</v>
      </c>
      <c r="L12" s="3" t="str">
        <f t="shared" si="0"/>
        <v>Sim</v>
      </c>
      <c r="N12" s="21"/>
      <c r="O12" s="78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>Sim</v>
      </c>
      <c r="P12" s="35"/>
      <c r="S12" s="107"/>
      <c r="T12" s="107"/>
    </row>
    <row r="13" spans="1:21" x14ac:dyDescent="0.25">
      <c r="B13" s="108"/>
      <c r="C13" s="64"/>
      <c r="D13" s="64"/>
      <c r="E13" s="30"/>
      <c r="F13" s="31"/>
      <c r="G13" s="34"/>
      <c r="H13" s="34"/>
      <c r="I13" s="32"/>
      <c r="J13" s="74" t="str">
        <f t="shared" si="1"/>
        <v/>
      </c>
      <c r="K13" s="75" t="str">
        <f t="shared" si="2"/>
        <v/>
      </c>
      <c r="L13" s="3" t="str">
        <f t="shared" si="0"/>
        <v/>
      </c>
      <c r="N13" s="21"/>
      <c r="O13" s="78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107"/>
      <c r="T13" s="107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8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107"/>
      <c r="T14" s="107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8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107"/>
      <c r="T15" s="107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6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107"/>
      <c r="T16" s="107"/>
    </row>
    <row r="17" spans="2:22" ht="15.75" thickBot="1" x14ac:dyDescent="0.3">
      <c r="B17" s="127" t="s">
        <v>5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9"/>
      <c r="N17" s="21"/>
      <c r="O17" s="135" t="s">
        <v>24</v>
      </c>
      <c r="P17" s="136"/>
      <c r="Q17" s="83"/>
      <c r="S17" s="107"/>
      <c r="T17" s="107"/>
      <c r="V17" s="8"/>
    </row>
    <row r="18" spans="2:22" ht="15.75" thickBot="1" x14ac:dyDescent="0.3">
      <c r="B18" s="130" t="s">
        <v>3</v>
      </c>
      <c r="C18" s="131"/>
      <c r="D18" s="131"/>
      <c r="E18" s="131"/>
      <c r="F18" s="131"/>
      <c r="G18" s="131"/>
      <c r="H18" s="131"/>
      <c r="I18" s="132"/>
      <c r="J18" s="71" t="s">
        <v>2</v>
      </c>
      <c r="K18" s="72" t="s">
        <v>46</v>
      </c>
      <c r="L18" s="70" t="s">
        <v>11</v>
      </c>
      <c r="N18" s="21"/>
      <c r="O18" s="27" t="s">
        <v>23</v>
      </c>
      <c r="P18" s="28" t="s">
        <v>49</v>
      </c>
      <c r="Q18" s="8"/>
      <c r="S18" s="107"/>
      <c r="T18" s="107"/>
    </row>
    <row r="19" spans="2:22" x14ac:dyDescent="0.25">
      <c r="B19" s="122" t="s">
        <v>151</v>
      </c>
      <c r="C19" s="123"/>
      <c r="D19" s="123"/>
      <c r="E19" s="123"/>
      <c r="F19" s="123"/>
      <c r="G19" s="123"/>
      <c r="H19" s="123"/>
      <c r="I19" s="124"/>
      <c r="J19" s="31">
        <v>45975</v>
      </c>
      <c r="K19" s="38">
        <f>11609.1+2358.1</f>
        <v>13967.2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107"/>
      <c r="T19" s="107"/>
    </row>
    <row r="20" spans="2:22" x14ac:dyDescent="0.25">
      <c r="B20" s="122" t="s">
        <v>167</v>
      </c>
      <c r="C20" s="123"/>
      <c r="D20" s="123"/>
      <c r="E20" s="123"/>
      <c r="F20" s="123"/>
      <c r="G20" s="123"/>
      <c r="H20" s="123"/>
      <c r="I20" s="124"/>
      <c r="J20" s="31">
        <v>45979</v>
      </c>
      <c r="K20" s="38">
        <v>11488.85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107"/>
      <c r="T20" s="107"/>
    </row>
    <row r="21" spans="2:22" x14ac:dyDescent="0.25">
      <c r="B21" s="122" t="s">
        <v>168</v>
      </c>
      <c r="C21" s="123"/>
      <c r="D21" s="123"/>
      <c r="E21" s="123"/>
      <c r="F21" s="123"/>
      <c r="G21" s="123"/>
      <c r="H21" s="123"/>
      <c r="I21" s="124"/>
      <c r="J21" s="31">
        <v>45980</v>
      </c>
      <c r="K21" s="38">
        <v>13980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107"/>
      <c r="T21" s="107"/>
    </row>
    <row r="22" spans="2:22" x14ac:dyDescent="0.25">
      <c r="B22" s="122" t="s">
        <v>169</v>
      </c>
      <c r="C22" s="123"/>
      <c r="D22" s="123"/>
      <c r="E22" s="123"/>
      <c r="F22" s="123"/>
      <c r="G22" s="123"/>
      <c r="H22" s="123"/>
      <c r="I22" s="124"/>
      <c r="J22" s="31">
        <v>45985</v>
      </c>
      <c r="K22" s="38">
        <v>10000</v>
      </c>
      <c r="L22" s="3" t="str">
        <f t="shared" si="3"/>
        <v>Sim</v>
      </c>
      <c r="N22" s="21"/>
      <c r="O22" s="48" t="str">
        <f t="shared" si="4"/>
        <v>Sim</v>
      </c>
      <c r="P22" s="35"/>
      <c r="Q22" s="8"/>
      <c r="S22" s="107"/>
      <c r="T22" s="107"/>
    </row>
    <row r="23" spans="2:22" x14ac:dyDescent="0.25">
      <c r="B23" s="122"/>
      <c r="C23" s="123"/>
      <c r="D23" s="123"/>
      <c r="E23" s="123"/>
      <c r="F23" s="123"/>
      <c r="G23" s="123"/>
      <c r="H23" s="123"/>
      <c r="I23" s="124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107"/>
      <c r="T23" s="107"/>
    </row>
    <row r="24" spans="2:22" x14ac:dyDescent="0.25">
      <c r="B24" s="122"/>
      <c r="C24" s="123"/>
      <c r="D24" s="123"/>
      <c r="E24" s="123"/>
      <c r="F24" s="123"/>
      <c r="G24" s="123"/>
      <c r="H24" s="123"/>
      <c r="I24" s="124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107"/>
      <c r="T24" s="107"/>
    </row>
    <row r="25" spans="2:22" x14ac:dyDescent="0.25">
      <c r="B25" s="122"/>
      <c r="C25" s="123"/>
      <c r="D25" s="123"/>
      <c r="E25" s="123"/>
      <c r="F25" s="123"/>
      <c r="G25" s="123"/>
      <c r="H25" s="123"/>
      <c r="I25" s="124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107"/>
      <c r="T25" s="107"/>
    </row>
    <row r="26" spans="2:22" x14ac:dyDescent="0.25">
      <c r="B26" s="122"/>
      <c r="C26" s="123"/>
      <c r="D26" s="123"/>
      <c r="E26" s="123"/>
      <c r="F26" s="123"/>
      <c r="G26" s="123"/>
      <c r="H26" s="123"/>
      <c r="I26" s="124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107"/>
      <c r="T26" s="107"/>
    </row>
    <row r="27" spans="2:22" x14ac:dyDescent="0.25">
      <c r="B27" s="122"/>
      <c r="C27" s="123"/>
      <c r="D27" s="123"/>
      <c r="E27" s="123"/>
      <c r="F27" s="123"/>
      <c r="G27" s="123"/>
      <c r="H27" s="123"/>
      <c r="I27" s="124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107"/>
      <c r="T27" s="107"/>
    </row>
    <row r="28" spans="2:22" x14ac:dyDescent="0.25">
      <c r="B28" s="122"/>
      <c r="C28" s="123"/>
      <c r="D28" s="123"/>
      <c r="E28" s="123"/>
      <c r="F28" s="123"/>
      <c r="G28" s="123"/>
      <c r="H28" s="123"/>
      <c r="I28" s="124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107"/>
      <c r="T28" s="107"/>
    </row>
    <row r="29" spans="2:22" ht="15.75" thickBot="1" x14ac:dyDescent="0.3">
      <c r="B29" s="122"/>
      <c r="C29" s="123"/>
      <c r="D29" s="123"/>
      <c r="E29" s="123"/>
      <c r="F29" s="123"/>
      <c r="G29" s="123"/>
      <c r="H29" s="123"/>
      <c r="I29" s="124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107"/>
      <c r="T29" s="107"/>
    </row>
    <row r="30" spans="2:22" x14ac:dyDescent="0.25">
      <c r="B30" s="90" t="s">
        <v>17</v>
      </c>
      <c r="C30" s="91"/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15202.752927814072</v>
      </c>
      <c r="N30" s="40" t="s">
        <v>25</v>
      </c>
      <c r="O30" s="49" cm="1">
        <f t="array" ref="O30">IF(COUNTIF(O19:O29,"Sim")&lt;3,"N/D (são necessários pelo menos 3 preços)",AVERAGE(IF(O19:O29="Sim",$K19:$K29)))</f>
        <v>12359.012500000001</v>
      </c>
      <c r="P30" s="50" t="str">
        <f>IF(COUNTIF(P19:P29,"Sim")&lt;3,"N/D (são necessários pelo menos 3 preços)",AVERAGE(IF(P19:P29="Sim",$K19:$K29)))</f>
        <v>N/D (são necessários pelo menos 3 preços)</v>
      </c>
      <c r="Q30" s="8"/>
      <c r="S30" s="107"/>
      <c r="T30" s="107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13967.2</v>
      </c>
      <c r="N31" s="42" t="s">
        <v>26</v>
      </c>
      <c r="O31" s="51" cm="1">
        <f t="array" ref="O31">IF(COUNTIF(O19:O29,"Sim")&lt;3,"N/D (são necessários pelo menos 3 preços)",MEDIAN(IF(O19:O29="Sim",$K19:$K29)))</f>
        <v>12728.025000000001</v>
      </c>
      <c r="P31" s="52" t="str">
        <f>IF(COUNTIF(P19:P29,"Sim")&lt;3,"N/D (são necessários pelo menos 3 preços)",MEDIAN(IF(P19:P29="Sim",$K19:$K29)))</f>
        <v>N/D (são necessários pelo menos 3 preços)</v>
      </c>
      <c r="Q31" s="8"/>
      <c r="S31" s="107"/>
      <c r="T31" s="107"/>
    </row>
    <row r="32" spans="2:22" ht="15.75" thickBot="1" x14ac:dyDescent="0.3">
      <c r="B32" s="148" t="s">
        <v>30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54" t="str">
        <f>IF(O35="",INDEX(O18:P18,MATCH(MIN(#REF!),#REF!,0)),O35)</f>
        <v>Outliers</v>
      </c>
      <c r="N32" s="44" t="s">
        <v>27</v>
      </c>
      <c r="O32" s="53" cm="1">
        <f t="array" ref="O32">IF(COUNTIF(O19:O29,"Sim")&lt;3,"N/D (são necessários pelo menos 3 preços)",_xlfn.STDEV.S(IF(O19:O29="Sim",$K19:$K29))/AVERAGE(IF(O19:O29="Sim",$K19:$K29)))</f>
        <v>0.15866569614762605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107"/>
      <c r="T32" s="107"/>
    </row>
    <row r="33" spans="1:22" x14ac:dyDescent="0.25"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5"/>
      <c r="N33" s="45" t="s">
        <v>21</v>
      </c>
      <c r="O33" s="55" cm="1">
        <f t="array" aca="1" ref="O33" ca="1">IF(SUM(COUNTIF($O$10:$O$16,"Sim")) + SUM(COUNTIF(O19:O29,"Sim")) &lt; 3,
   "N/D (são necessários pelo menos 3 preços)",
   IFERROR(AVERAGE(_xlfn._xlws.FILTER($K$10:$K$16,$O$10:$O$16="Sim"), _xlfn._xlws.FILTER($K$19:$K$29,O19:O29="Sim")),O30))</f>
        <v>12359.012500000001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107"/>
      <c r="T33" s="107"/>
    </row>
    <row r="34" spans="1:22" ht="15.75" thickBot="1" x14ac:dyDescent="0.3">
      <c r="B34" s="152"/>
      <c r="C34" s="153"/>
      <c r="D34" s="153"/>
      <c r="E34" s="153"/>
      <c r="F34" s="153"/>
      <c r="G34" s="153"/>
      <c r="H34" s="153"/>
      <c r="I34" s="153"/>
      <c r="J34" s="153"/>
      <c r="K34" s="153"/>
      <c r="L34" s="156"/>
      <c r="N34" s="46" t="s">
        <v>22</v>
      </c>
      <c r="O34" s="56" cm="1">
        <f t="array" aca="1" ref="O34" ca="1">IF(SUM(COUNTIF($O$10:$O$16,"Sim")) + SUM(COUNTIF(O19:O29,"Sim")) &lt; 3,
   "N/D (são necessários pelo menos 3 preços)",
   IFERROR(MEDIAN(_xlfn._xlws.FILTER($K$10:$K$16,$O$10:$O$16="Sim"), _xlfn._xlws.FILTER($K$19:$K$29,O19:O29="Sim")),O31))</f>
        <v>12728.025000000001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107"/>
      <c r="T34" s="107"/>
    </row>
    <row r="35" spans="1:22" ht="21.75" thickBot="1" x14ac:dyDescent="0.4">
      <c r="B35" s="144" t="s">
        <v>59</v>
      </c>
      <c r="C35" s="145"/>
      <c r="D35" s="145"/>
      <c r="E35" s="145"/>
      <c r="F35" s="145"/>
      <c r="G35" s="145"/>
      <c r="H35" s="145"/>
      <c r="I35" s="145"/>
      <c r="J35" s="145"/>
      <c r="K35" s="145"/>
      <c r="L35" s="140"/>
      <c r="N35" s="79" t="s">
        <v>29</v>
      </c>
      <c r="O35" s="58" t="str" cm="1">
        <f t="array" ref="O35">IF(INDEX(O18:P18,P35)=0,"",INDEX(O18:P18,P35))</f>
        <v>Outliers</v>
      </c>
      <c r="P35" s="88">
        <v>1</v>
      </c>
      <c r="Q35" s="8"/>
      <c r="S35" s="107"/>
      <c r="T35" s="107"/>
    </row>
    <row r="36" spans="1:22" s="86" customFormat="1" x14ac:dyDescent="0.25">
      <c r="A36" s="107"/>
      <c r="B36" s="146"/>
      <c r="C36" s="147"/>
      <c r="D36" s="147"/>
      <c r="E36" s="147"/>
      <c r="F36" s="147"/>
      <c r="G36" s="147"/>
      <c r="H36" s="147"/>
      <c r="I36" s="147"/>
      <c r="J36" s="147"/>
      <c r="K36" s="147"/>
      <c r="L36" s="141"/>
      <c r="M36" s="107"/>
      <c r="N36" s="107"/>
      <c r="O36" s="9"/>
      <c r="P36" s="107"/>
      <c r="Q36" s="84"/>
      <c r="R36" s="84"/>
      <c r="S36" s="84"/>
      <c r="T36" s="84"/>
      <c r="U36" s="84"/>
      <c r="V36" s="85"/>
    </row>
    <row r="37" spans="1:22" ht="15.75" thickBot="1" x14ac:dyDescent="0.3">
      <c r="B37" s="142" t="s">
        <v>45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97">
        <f>IF($B$39="Mediana:",L31,L30)</f>
        <v>13967.2</v>
      </c>
      <c r="N37" s="8"/>
      <c r="Q37" s="87"/>
      <c r="R37" s="87"/>
      <c r="S37" s="87"/>
      <c r="T37" s="87"/>
      <c r="U37" s="87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107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mergeCells count="24">
    <mergeCell ref="B32:K34"/>
    <mergeCell ref="L32:L34"/>
    <mergeCell ref="B35:K36"/>
    <mergeCell ref="L35:L36"/>
    <mergeCell ref="B37:K37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17:L17"/>
    <mergeCell ref="O17:P17"/>
    <mergeCell ref="A1:G1"/>
    <mergeCell ref="C7:H7"/>
    <mergeCell ref="O7:P7"/>
    <mergeCell ref="B8:L8"/>
    <mergeCell ref="O8:P8"/>
  </mergeCells>
  <dataValidations count="2">
    <dataValidation type="list" allowBlank="1" showInputMessage="1" showErrorMessage="1" sqref="P10:P16 P19:P29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/>
  </dataValidations>
  <pageMargins left="0.511811024" right="0.511811024" top="0.78740157499999996" bottom="0.78740157499999996" header="0.31496062000000002" footer="0.31496062000000002"/>
  <drawing r:id="rId1"/>
  <legacyDrawing r:id="rId2"/>
  <controls>
    <mc:AlternateContent xmlns:mc="http://schemas.openxmlformats.org/markup-compatibility/2006">
      <mc:Choice Requires="x14">
        <control shapeId="44034" r:id="rId3" name="ComboBox1">
          <controlPr defaultSize="0" autoLine="0" linkedCell="B39" listFillRange="K30:K31" r:id="rId4">
            <anchor moveWithCells="1">
              <from>
                <xdr:col>11</xdr:col>
                <xdr:colOff>38100</xdr:colOff>
                <xdr:row>34</xdr:row>
                <xdr:rowOff>38100</xdr:rowOff>
              </from>
              <to>
                <xdr:col>11</xdr:col>
                <xdr:colOff>2695575</xdr:colOff>
                <xdr:row>35</xdr:row>
                <xdr:rowOff>0</xdr:rowOff>
              </to>
            </anchor>
          </controlPr>
        </control>
      </mc:Choice>
      <mc:Fallback>
        <control shapeId="44034" r:id="rId3" name="ComboBox1"/>
      </mc:Fallback>
    </mc:AlternateContent>
    <mc:AlternateContent xmlns:mc="http://schemas.openxmlformats.org/markup-compatibility/2006">
      <mc:Choice Requires="x14">
        <control shapeId="44033" r:id="rId5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20</xdr:col>
                <xdr:colOff>1762125</xdr:colOff>
                <xdr:row>36</xdr:row>
                <xdr:rowOff>66675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3</vt:i4>
      </vt:variant>
    </vt:vector>
  </HeadingPairs>
  <TitlesOfParts>
    <vt:vector size="15" baseType="lpstr">
      <vt:lpstr>ORIENTAÇÕES E ADVERTÊNCIAS</vt:lpstr>
      <vt:lpstr>1-Freezer</vt:lpstr>
      <vt:lpstr>2-Mesa de manipulação</vt:lpstr>
      <vt:lpstr>3-Liquidificador industrial 08L</vt:lpstr>
      <vt:lpstr>4-Batedeira industrial</vt:lpstr>
      <vt:lpstr>5-Cilindro elétrico</vt:lpstr>
      <vt:lpstr>6-Amassadeira preparo massas</vt:lpstr>
      <vt:lpstr>7-Divisora de coluna de massas</vt:lpstr>
      <vt:lpstr>8-Modeladora massa panificação</vt:lpstr>
      <vt:lpstr>9-Balança eletrônica</vt:lpstr>
      <vt:lpstr>10-Armário estufa panificação</vt:lpstr>
      <vt:lpstr>11-Forno indust. panif. gás</vt:lpstr>
      <vt:lpstr>'1-Freezer'!Area_de_impressao</vt:lpstr>
      <vt:lpstr>'2-Mesa de manipulação'!Area_de_impressao</vt:lpstr>
      <vt:lpstr>'3-Liquidificador industrial 08L'!Area_de_impressao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Soares Rebelo</dc:creator>
  <cp:lastModifiedBy>Alcilane Arnaldo Silva</cp:lastModifiedBy>
  <cp:lastPrinted>2025-11-26T13:51:46Z</cp:lastPrinted>
  <dcterms:created xsi:type="dcterms:W3CDTF">2022-06-30T14:03:38Z</dcterms:created>
  <dcterms:modified xsi:type="dcterms:W3CDTF">2025-12-02T14:11:23Z</dcterms:modified>
</cp:coreProperties>
</file>